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593A408C-9045-49F6-8F33-331E496A0FDD}"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7"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33" i="63"/>
  <c r="C102" i="63"/>
  <c r="C101" i="63"/>
  <c r="C132" i="63"/>
  <c r="C135" i="63"/>
  <c r="D132" i="63" l="1"/>
  <c r="D133" i="63"/>
  <c r="D101" i="63"/>
  <c r="D102" i="63"/>
  <c r="A197" i="63"/>
  <c r="A165" i="63"/>
  <c r="A104" i="63"/>
  <c r="BA115" i="34"/>
  <c r="D135" i="63"/>
  <c r="A228" i="63"/>
  <c r="A260" i="63" s="1"/>
  <c r="A136" i="63"/>
  <c r="C164" i="63"/>
  <c r="C103" i="63"/>
  <c r="C196" i="63"/>
  <c r="C260" i="63"/>
  <c r="C136" i="63"/>
  <c r="D164" i="63" l="1"/>
  <c r="D196" i="63"/>
  <c r="D103" i="63"/>
  <c r="A166" i="63"/>
  <c r="A198" i="63"/>
  <c r="A229" i="63"/>
  <c r="A105" i="63"/>
  <c r="BA116" i="34"/>
  <c r="AB76" i="34"/>
  <c r="AB88" i="34" s="1"/>
  <c r="AB75" i="34"/>
  <c r="AB87" i="34" s="1"/>
  <c r="D136" i="63"/>
  <c r="D260" i="63"/>
  <c r="A261" i="63"/>
  <c r="A292" i="63"/>
  <c r="A230" i="63"/>
  <c r="A137" i="63"/>
  <c r="C229" i="63"/>
  <c r="C292" i="63"/>
  <c r="C104" i="63"/>
  <c r="C228" i="63"/>
  <c r="C137" i="63"/>
  <c r="C165" i="63"/>
  <c r="C261" i="63"/>
  <c r="C197" i="63"/>
  <c r="D104" i="63" l="1"/>
  <c r="D228" i="63"/>
  <c r="D197" i="63"/>
  <c r="D165" i="63"/>
  <c r="A106" i="63"/>
  <c r="A199" i="63"/>
  <c r="A167" i="63"/>
  <c r="BA117" i="34"/>
  <c r="AB77" i="34"/>
  <c r="AB89" i="34" s="1"/>
  <c r="D137" i="63"/>
  <c r="D292" i="63"/>
  <c r="D261" i="63"/>
  <c r="A324" i="63"/>
  <c r="A293" i="63"/>
  <c r="A262" i="63"/>
  <c r="D229" i="63"/>
  <c r="A231" i="63"/>
  <c r="A138" i="63"/>
  <c r="C166" i="63"/>
  <c r="C138" i="63"/>
  <c r="C230" i="63"/>
  <c r="C324" i="63"/>
  <c r="C198" i="63"/>
  <c r="C293" i="63"/>
  <c r="C262" i="63"/>
  <c r="C105" i="63"/>
  <c r="D105" i="63" l="1"/>
  <c r="D166" i="63"/>
  <c r="D198" i="63"/>
  <c r="A168" i="63"/>
  <c r="A107" i="63"/>
  <c r="A200" i="63"/>
  <c r="BA118" i="34"/>
  <c r="AB78" i="34"/>
  <c r="AB90" i="34" s="1"/>
  <c r="D138" i="63"/>
  <c r="D262" i="63"/>
  <c r="D293" i="63"/>
  <c r="D324" i="63"/>
  <c r="A263" i="63"/>
  <c r="A294" i="63"/>
  <c r="A325" i="63"/>
  <c r="A356" i="63"/>
  <c r="D230" i="63"/>
  <c r="A232" i="63"/>
  <c r="A139" i="63"/>
  <c r="C106" i="63"/>
  <c r="C167" i="63"/>
  <c r="C231" i="63"/>
  <c r="C139" i="63"/>
  <c r="C356" i="63"/>
  <c r="C325" i="63"/>
  <c r="C199" i="63"/>
  <c r="C294" i="63"/>
  <c r="C263"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200" i="63"/>
  <c r="C357" i="63"/>
  <c r="C326" i="63"/>
  <c r="C264" i="63"/>
  <c r="C295" i="63"/>
  <c r="C140" i="63"/>
  <c r="C388" i="63"/>
  <c r="C168" i="63"/>
  <c r="C107" i="63"/>
  <c r="C232"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169" i="63"/>
  <c r="C327" i="63"/>
  <c r="C358" i="63"/>
  <c r="C141" i="63"/>
  <c r="C108" i="63"/>
  <c r="C296" i="63"/>
  <c r="C389" i="63"/>
  <c r="C233" i="63"/>
  <c r="C201" i="63"/>
  <c r="C265"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328" i="63"/>
  <c r="C142" i="63"/>
  <c r="C202" i="63"/>
  <c r="C266" i="63"/>
  <c r="C234" i="63"/>
  <c r="C359" i="63"/>
  <c r="C109" i="63"/>
  <c r="C170" i="63"/>
  <c r="C390" i="63"/>
  <c r="C297" i="63"/>
  <c r="D109" i="63" l="1"/>
  <c r="D170" i="63"/>
  <c r="D202" i="63"/>
  <c r="A111" i="63"/>
  <c r="A204" i="63"/>
  <c r="AB96" i="34"/>
  <c r="A172" i="63"/>
  <c r="BA122" i="34"/>
  <c r="D297" i="63"/>
  <c r="D390" i="63"/>
  <c r="D328" i="63"/>
  <c r="D142" i="63"/>
  <c r="D359" i="63"/>
  <c r="D266" i="63"/>
  <c r="A298" i="63"/>
  <c r="A391" i="63"/>
  <c r="A329" i="63"/>
  <c r="A360" i="63"/>
  <c r="A267" i="63"/>
  <c r="D234" i="63"/>
  <c r="A236" i="63"/>
  <c r="A143" i="63"/>
  <c r="C391" i="63"/>
  <c r="C235" i="63"/>
  <c r="C329" i="63"/>
  <c r="C171" i="63"/>
  <c r="C360" i="63"/>
  <c r="C110" i="63"/>
  <c r="C203" i="63"/>
  <c r="C267" i="63"/>
  <c r="C298" i="63"/>
  <c r="C143"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172" i="63"/>
  <c r="C111" i="63"/>
  <c r="C268" i="63"/>
  <c r="C236" i="63"/>
  <c r="C361" i="63"/>
  <c r="C299" i="63"/>
  <c r="C330" i="63"/>
  <c r="C392" i="63"/>
  <c r="C204" i="63"/>
  <c r="C144" i="63"/>
  <c r="D204" i="63" l="1"/>
  <c r="D111" i="63"/>
  <c r="D172" i="63"/>
  <c r="A113" i="63"/>
  <c r="A174" i="63"/>
  <c r="A206" i="63"/>
  <c r="BA124" i="34"/>
  <c r="D268" i="63"/>
  <c r="D361" i="63"/>
  <c r="D299" i="63"/>
  <c r="D144" i="63"/>
  <c r="D392" i="63"/>
  <c r="D330" i="63"/>
  <c r="A269" i="63"/>
  <c r="A362" i="63"/>
  <c r="A300" i="63"/>
  <c r="A393" i="63"/>
  <c r="A331" i="63"/>
  <c r="D236" i="63"/>
  <c r="A238" i="63"/>
  <c r="A145" i="63"/>
  <c r="P72" i="25"/>
  <c r="C300" i="63"/>
  <c r="C393" i="63"/>
  <c r="C362" i="63"/>
  <c r="C237" i="63"/>
  <c r="C269" i="63"/>
  <c r="C145" i="63"/>
  <c r="C173" i="63"/>
  <c r="C331" i="63"/>
  <c r="C205" i="63"/>
  <c r="C112" i="63"/>
  <c r="D205" i="63" l="1"/>
  <c r="D173" i="63"/>
  <c r="D112" i="63"/>
  <c r="A175" i="63"/>
  <c r="A114" i="63"/>
  <c r="A207" i="63"/>
  <c r="BA125" i="34"/>
  <c r="D362" i="63"/>
  <c r="D393" i="63"/>
  <c r="D269" i="63"/>
  <c r="D145" i="63"/>
  <c r="D331" i="63"/>
  <c r="D300" i="63"/>
  <c r="A363" i="63"/>
  <c r="A394" i="63"/>
  <c r="A270" i="63"/>
  <c r="A332" i="63"/>
  <c r="A301" i="63"/>
  <c r="D237" i="63"/>
  <c r="A239" i="63"/>
  <c r="A146" i="63"/>
  <c r="C238" i="63"/>
  <c r="C206" i="63"/>
  <c r="C363" i="63"/>
  <c r="C394" i="63"/>
  <c r="C174" i="63"/>
  <c r="C146" i="63"/>
  <c r="C301" i="63"/>
  <c r="C270" i="63"/>
  <c r="C332" i="63"/>
  <c r="C113" i="63"/>
  <c r="D206" i="63" l="1"/>
  <c r="D113" i="63"/>
  <c r="D174" i="63"/>
  <c r="A115" i="63"/>
  <c r="A176" i="63"/>
  <c r="A208" i="63"/>
  <c r="BA126" i="34"/>
  <c r="D363" i="63"/>
  <c r="D146" i="63"/>
  <c r="D301" i="63"/>
  <c r="D332" i="63"/>
  <c r="D270" i="63"/>
  <c r="D394" i="63"/>
  <c r="A364" i="63"/>
  <c r="A302" i="63"/>
  <c r="A333" i="63"/>
  <c r="A271" i="63"/>
  <c r="A395" i="63"/>
  <c r="D238" i="63"/>
  <c r="A240" i="63"/>
  <c r="A147" i="63"/>
  <c r="A7" i="63"/>
  <c r="C239" i="63"/>
  <c r="C333" i="63"/>
  <c r="C147" i="63"/>
  <c r="C364" i="63"/>
  <c r="C114" i="63"/>
  <c r="C271" i="63"/>
  <c r="C175" i="63"/>
  <c r="C395" i="63"/>
  <c r="C207" i="63"/>
  <c r="C302"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396" i="63"/>
  <c r="C176" i="63"/>
  <c r="C208" i="63"/>
  <c r="C148" i="63"/>
  <c r="C365" i="63"/>
  <c r="C272" i="63"/>
  <c r="C334" i="63"/>
  <c r="C303" i="63"/>
  <c r="C115" i="63"/>
  <c r="C240" i="63"/>
  <c r="D115" i="63" l="1"/>
  <c r="D176" i="63"/>
  <c r="D208" i="63"/>
  <c r="A210" i="63"/>
  <c r="A117" i="63"/>
  <c r="A178" i="63"/>
  <c r="BA128" i="34"/>
  <c r="D334" i="63"/>
  <c r="D148" i="63"/>
  <c r="D303" i="63"/>
  <c r="D272" i="63"/>
  <c r="D365" i="63"/>
  <c r="D396" i="63"/>
  <c r="A335" i="63"/>
  <c r="A304" i="63"/>
  <c r="A273" i="63"/>
  <c r="A366" i="63"/>
  <c r="A397" i="63"/>
  <c r="D240" i="63"/>
  <c r="A242" i="63"/>
  <c r="A149" i="63"/>
  <c r="C116" i="63"/>
  <c r="C304" i="63"/>
  <c r="C149" i="63"/>
  <c r="C397" i="63"/>
  <c r="C366" i="63"/>
  <c r="C241" i="63"/>
  <c r="C177" i="63"/>
  <c r="C335" i="63"/>
  <c r="C273" i="63"/>
  <c r="C209"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117" i="63"/>
  <c r="C274" i="63"/>
  <c r="C150" i="63"/>
  <c r="C336" i="63"/>
  <c r="C210" i="63"/>
  <c r="C305" i="63"/>
  <c r="C178" i="63"/>
  <c r="C242" i="63"/>
  <c r="C398" i="63"/>
  <c r="C367"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337" i="63"/>
  <c r="C399" i="63"/>
  <c r="C243" i="63"/>
  <c r="C368" i="63"/>
  <c r="C179" i="63"/>
  <c r="C275" i="63"/>
  <c r="C151" i="63"/>
  <c r="C118" i="63"/>
  <c r="C306" i="63"/>
  <c r="C211"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307" i="63"/>
  <c r="C212" i="63"/>
  <c r="C244" i="63"/>
  <c r="C276" i="63"/>
  <c r="C369" i="63"/>
  <c r="C119" i="63"/>
  <c r="C338" i="63"/>
  <c r="C400" i="63"/>
  <c r="C152" i="63"/>
  <c r="C180"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277" i="63"/>
  <c r="C153" i="63"/>
  <c r="C308" i="63"/>
  <c r="C370" i="63"/>
  <c r="C213" i="63"/>
  <c r="C181" i="63"/>
  <c r="C120" i="63"/>
  <c r="C339" i="63"/>
  <c r="C245" i="63"/>
  <c r="C401"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182" i="63"/>
  <c r="C121" i="63"/>
  <c r="C371" i="63"/>
  <c r="C340" i="63"/>
  <c r="C402" i="63"/>
  <c r="C246" i="63"/>
  <c r="C214" i="63"/>
  <c r="C154" i="63"/>
  <c r="C309" i="63"/>
  <c r="C278"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403" i="63"/>
  <c r="C279" i="63"/>
  <c r="C183" i="63"/>
  <c r="C215" i="63"/>
  <c r="C310" i="63"/>
  <c r="C247" i="63"/>
  <c r="C155" i="63"/>
  <c r="C122" i="63"/>
  <c r="C341" i="63"/>
  <c r="C372"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342" i="63"/>
  <c r="C280" i="63"/>
  <c r="C123" i="63"/>
  <c r="C248" i="63"/>
  <c r="C404" i="63"/>
  <c r="C184" i="63"/>
  <c r="C311" i="63"/>
  <c r="C156" i="63"/>
  <c r="C216" i="63"/>
  <c r="C373"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405" i="63"/>
  <c r="C249" i="63"/>
  <c r="C374" i="63"/>
  <c r="C124" i="63"/>
  <c r="C185" i="63"/>
  <c r="C312" i="63"/>
  <c r="C217" i="63"/>
  <c r="C281" i="63"/>
  <c r="C343" i="63"/>
  <c r="C157"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282" i="63"/>
  <c r="C375" i="63"/>
  <c r="C344" i="63"/>
  <c r="C218" i="63"/>
  <c r="C186" i="63"/>
  <c r="C313" i="63"/>
  <c r="C250" i="63"/>
  <c r="C125" i="63"/>
  <c r="C158" i="63"/>
  <c r="C406" i="63"/>
  <c r="D186" i="63" l="1"/>
  <c r="D125" i="63"/>
  <c r="D218" i="63"/>
  <c r="A220" i="63"/>
  <c r="A188" i="63"/>
  <c r="A127" i="63"/>
  <c r="D406" i="63"/>
  <c r="D313" i="63"/>
  <c r="D344" i="63"/>
  <c r="D282" i="63"/>
  <c r="D158" i="63"/>
  <c r="D375" i="63"/>
  <c r="A407" i="63"/>
  <c r="A314" i="63"/>
  <c r="A345" i="63"/>
  <c r="A283" i="63"/>
  <c r="A376" i="63"/>
  <c r="D250" i="63"/>
  <c r="A252" i="63"/>
  <c r="A159" i="63"/>
  <c r="C345" i="63"/>
  <c r="C407" i="63"/>
  <c r="C314" i="63"/>
  <c r="C376" i="63"/>
  <c r="C251" i="63"/>
  <c r="C219" i="63"/>
  <c r="C187" i="63"/>
  <c r="C126" i="63"/>
  <c r="C283" i="63"/>
  <c r="C159" i="63"/>
  <c r="D219" i="63" l="1"/>
  <c r="D126" i="63"/>
  <c r="D187" i="63"/>
  <c r="A221" i="63"/>
  <c r="A128" i="63"/>
  <c r="A189" i="63"/>
  <c r="D407" i="63"/>
  <c r="D314" i="63"/>
  <c r="D159" i="63"/>
  <c r="D376" i="63"/>
  <c r="D283" i="63"/>
  <c r="D345" i="63"/>
  <c r="A408" i="63"/>
  <c r="A315" i="63"/>
  <c r="A377" i="63"/>
  <c r="A284" i="63"/>
  <c r="A346" i="63"/>
  <c r="D251" i="63"/>
  <c r="A253" i="63"/>
  <c r="A160" i="63"/>
  <c r="C408" i="63"/>
  <c r="C252" i="63"/>
  <c r="C127" i="63"/>
  <c r="C315" i="63"/>
  <c r="C284" i="63"/>
  <c r="C220" i="63"/>
  <c r="C346" i="63"/>
  <c r="C160" i="63"/>
  <c r="C377" i="63"/>
  <c r="C188" i="63"/>
  <c r="D188" i="63" l="1"/>
  <c r="D127" i="63"/>
  <c r="D220" i="63"/>
  <c r="A129" i="63"/>
  <c r="A222" i="63"/>
  <c r="A190" i="63"/>
  <c r="D346" i="63"/>
  <c r="D284" i="63"/>
  <c r="D315" i="63"/>
  <c r="D408" i="63"/>
  <c r="D160" i="63"/>
  <c r="D377" i="63"/>
  <c r="A347" i="63"/>
  <c r="A285" i="63"/>
  <c r="A316" i="63"/>
  <c r="A409" i="63"/>
  <c r="A378" i="63"/>
  <c r="D252" i="63"/>
  <c r="A254" i="63"/>
  <c r="A161" i="63"/>
  <c r="C161" i="63"/>
  <c r="C128" i="63"/>
  <c r="C347" i="63"/>
  <c r="C221" i="63"/>
  <c r="C189" i="63"/>
  <c r="C316" i="63"/>
  <c r="C253" i="63"/>
  <c r="C409" i="63"/>
  <c r="C285" i="63"/>
  <c r="C378" i="63"/>
  <c r="D189" i="63" l="1"/>
  <c r="D221" i="63"/>
  <c r="D128" i="63"/>
  <c r="A223" i="63"/>
  <c r="A130" i="63"/>
  <c r="A191" i="63"/>
  <c r="D347" i="63"/>
  <c r="D285" i="63"/>
  <c r="D316" i="63"/>
  <c r="D161" i="63"/>
  <c r="D378" i="63"/>
  <c r="D409" i="63"/>
  <c r="A348" i="63"/>
  <c r="A286" i="63"/>
  <c r="A317" i="63"/>
  <c r="A379" i="63"/>
  <c r="A410" i="63"/>
  <c r="D253" i="63"/>
  <c r="A255" i="63"/>
  <c r="A162" i="63"/>
  <c r="C379" i="63"/>
  <c r="C162" i="63"/>
  <c r="C254" i="63"/>
  <c r="C222" i="63"/>
  <c r="C190" i="63"/>
  <c r="C348" i="63"/>
  <c r="C129" i="63"/>
  <c r="C317" i="63"/>
  <c r="C410" i="63"/>
  <c r="C286"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255" i="63"/>
  <c r="C380" i="63"/>
  <c r="C318" i="63"/>
  <c r="C131" i="63"/>
  <c r="C191" i="63"/>
  <c r="C287" i="63"/>
  <c r="C163" i="63"/>
  <c r="C130" i="63"/>
  <c r="C223" i="63"/>
  <c r="C411" i="63"/>
  <c r="C349"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256" i="63"/>
  <c r="C350" i="63"/>
  <c r="C288" i="63"/>
  <c r="C319" i="63"/>
  <c r="C381" i="63"/>
  <c r="C192" i="63"/>
  <c r="C224" i="63"/>
  <c r="C412"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257" i="63"/>
  <c r="C351" i="63"/>
  <c r="C225" i="63"/>
  <c r="C289" i="63"/>
  <c r="C413" i="63"/>
  <c r="C193" i="63"/>
  <c r="C320" i="63"/>
  <c r="C382"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P24" i="39" s="1"/>
  <c r="AR23" i="39"/>
  <c r="AR24" i="39"/>
  <c r="AQ23" i="39"/>
  <c r="AQ24" i="39"/>
  <c r="AA27" i="39"/>
  <c r="AQ15" i="39"/>
  <c r="AA25" i="39"/>
  <c r="Y28" i="39"/>
  <c r="AR15" i="39"/>
  <c r="AQ13" i="39"/>
  <c r="AQ14" i="39"/>
  <c r="AQ66" i="39"/>
  <c r="AA55" i="39"/>
  <c r="C290" i="63"/>
  <c r="C383" i="63"/>
  <c r="C227" i="63"/>
  <c r="C258" i="63"/>
  <c r="C226" i="63"/>
  <c r="C195" i="63"/>
  <c r="C352" i="63"/>
  <c r="C194" i="63"/>
  <c r="C414" i="63"/>
  <c r="C321" i="63"/>
  <c r="AP41" i="39" l="1"/>
  <c r="AP33"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291" i="63"/>
  <c r="C322" i="63"/>
  <c r="C353" i="63"/>
  <c r="C415" i="63"/>
  <c r="C259" i="63"/>
  <c r="C384" i="63"/>
  <c r="AP50" i="39" l="1"/>
  <c r="AP48" i="39"/>
  <c r="Z19" i="39"/>
  <c r="AP39" i="39"/>
  <c r="AP40" i="39"/>
  <c r="AV40" i="39" s="1"/>
  <c r="Z20" i="39"/>
  <c r="AP13" i="39"/>
  <c r="AU13" i="39" s="1"/>
  <c r="AP57" i="39"/>
  <c r="AP59" i="39"/>
  <c r="AP60" i="39"/>
  <c r="AB20" i="39"/>
  <c r="AT24" i="39"/>
  <c r="AE22" i="39"/>
  <c r="AB38" i="34"/>
  <c r="AU60" i="39"/>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T39" i="39"/>
  <c r="AV32" i="39"/>
  <c r="AT32" i="39"/>
  <c r="AS32" i="39"/>
  <c r="AB69" i="39"/>
  <c r="AB71" i="39"/>
  <c r="AB68" i="39"/>
  <c r="AU33" i="39"/>
  <c r="AU30" i="39"/>
  <c r="AB70" i="39"/>
  <c r="AU31" i="39"/>
  <c r="AA70" i="39"/>
  <c r="AT21" i="39"/>
  <c r="AA71" i="39"/>
  <c r="AA68" i="39"/>
  <c r="AV21" i="39"/>
  <c r="AA69" i="39"/>
  <c r="AU21" i="39"/>
  <c r="AV13" i="39"/>
  <c r="Z71" i="39"/>
  <c r="AV12" i="39"/>
  <c r="Z68" i="39"/>
  <c r="Z69" i="39"/>
  <c r="AU12" i="39"/>
  <c r="Z70" i="39"/>
  <c r="AT12" i="39"/>
  <c r="AS15" i="39"/>
  <c r="AT15" i="39"/>
  <c r="AT14" i="39"/>
  <c r="AS14" i="39"/>
  <c r="AS67" i="39"/>
  <c r="AT68" i="39"/>
  <c r="AU67" i="39"/>
  <c r="AT69" i="39"/>
  <c r="AV67" i="39"/>
  <c r="AS68" i="39"/>
  <c r="AF68" i="39"/>
  <c r="AV66" i="39"/>
  <c r="AS69" i="39"/>
  <c r="AF69" i="39"/>
  <c r="AU66" i="39"/>
  <c r="AF71" i="39"/>
  <c r="AT66" i="39"/>
  <c r="AF70" i="39"/>
  <c r="M71" i="29"/>
  <c r="C416" i="63"/>
  <c r="C385" i="63"/>
  <c r="C323" i="63"/>
  <c r="C354" i="63"/>
  <c r="AB40" i="34" l="1"/>
  <c r="AS40" i="39"/>
  <c r="AS13" i="39"/>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X15" i="39"/>
  <c r="AW15" i="39"/>
  <c r="AX12" i="39"/>
  <c r="AY13" i="39"/>
  <c r="AW12" i="39"/>
  <c r="AY14" i="39"/>
  <c r="AW14" i="39"/>
  <c r="AX14" i="39"/>
  <c r="AY12" i="39"/>
  <c r="AX13" i="39"/>
  <c r="AW13" i="39"/>
  <c r="AW68" i="39"/>
  <c r="AX68" i="39"/>
  <c r="AX66" i="39"/>
  <c r="AW66" i="39"/>
  <c r="AY67" i="39"/>
  <c r="AY68" i="39"/>
  <c r="AX69" i="39"/>
  <c r="AW69" i="39"/>
  <c r="AY69" i="39"/>
  <c r="AY66" i="39"/>
  <c r="AX67" i="39"/>
  <c r="AW67" i="39"/>
  <c r="Y63" i="34"/>
  <c r="O48" i="46"/>
  <c r="H52" i="46" s="1"/>
  <c r="R62" i="25"/>
  <c r="S65" i="25" s="1"/>
  <c r="M86" i="41"/>
  <c r="V72" i="39"/>
  <c r="C417" i="63"/>
  <c r="C355" i="63"/>
  <c r="C386" i="63"/>
  <c r="AW58" i="39" l="1"/>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17" i="60"/>
  <c r="B28" i="60"/>
  <c r="B29" i="60"/>
  <c r="B41" i="60"/>
  <c r="B33" i="60"/>
  <c r="B24" i="60"/>
  <c r="B8" i="60"/>
  <c r="B56" i="60"/>
  <c r="B10" i="60"/>
  <c r="B51" i="60"/>
  <c r="B47" i="60"/>
  <c r="B42" i="60"/>
  <c r="B25" i="60"/>
  <c r="B20" i="60"/>
  <c r="B45" i="60"/>
  <c r="B16" i="60"/>
  <c r="B6" i="60"/>
  <c r="B44" i="60"/>
  <c r="B52" i="60"/>
  <c r="B43" i="60"/>
  <c r="B18" i="60"/>
  <c r="B9" i="60"/>
  <c r="B31" i="60"/>
  <c r="B23" i="60"/>
  <c r="B46" i="60"/>
  <c r="B36" i="60"/>
  <c r="B15" i="60"/>
  <c r="B27" i="60"/>
  <c r="B22" i="60"/>
  <c r="B30" i="60"/>
  <c r="B48" i="60"/>
  <c r="B19" i="60"/>
  <c r="B53" i="60"/>
  <c r="B49" i="60"/>
  <c r="B32" i="60"/>
  <c r="B21" i="60"/>
  <c r="B55" i="60"/>
  <c r="B50" i="60"/>
  <c r="B39" i="60"/>
  <c r="B37" i="60"/>
  <c r="B26" i="60"/>
  <c r="B40" i="60"/>
  <c r="B7" i="60"/>
  <c r="B54" i="60"/>
  <c r="B38" i="60"/>
  <c r="U2" i="64" l="1"/>
  <c r="C1" i="62"/>
  <c r="C2" i="62" s="1"/>
  <c r="C1" i="63"/>
  <c r="C2" i="63" s="1"/>
  <c r="C1" i="61"/>
  <c r="D13" i="64" l="1"/>
  <c r="T10" i="64"/>
  <c r="T9" i="64"/>
  <c r="K44" i="38"/>
  <c r="V50" i="38" s="1"/>
  <c r="D44" i="38"/>
  <c r="V45" i="38" s="1"/>
  <c r="V48" i="38" s="1"/>
  <c r="C2" i="61"/>
  <c r="Q72" i="25"/>
  <c r="B155" i="61"/>
  <c r="T8" i="64" a="1"/>
  <c r="T7" i="64" a="1"/>
  <c r="I133" i="46" l="1"/>
  <c r="T8" i="64"/>
  <c r="T7" i="64"/>
  <c r="V46" i="38"/>
  <c r="V47" i="38"/>
  <c r="V49" i="38"/>
  <c r="AA49" i="38" s="1"/>
  <c r="X45" i="38"/>
  <c r="V54" i="38"/>
  <c r="U54" i="38" s="1"/>
  <c r="V53" i="38"/>
  <c r="AA53" i="38" s="1"/>
  <c r="V52" i="38"/>
  <c r="V51" i="38"/>
  <c r="T2" i="46"/>
  <c r="D69" i="29"/>
  <c r="BC2" i="34"/>
  <c r="C84" i="25"/>
  <c r="E97" i="25" s="1"/>
  <c r="L81" i="25"/>
  <c r="L80" i="25"/>
  <c r="L97" i="25" s="1"/>
  <c r="L79" i="25"/>
  <c r="L87" i="25" s="1"/>
  <c r="C79" i="25"/>
  <c r="E96" i="25" s="1"/>
  <c r="C81" i="25"/>
  <c r="V2" i="25"/>
  <c r="E98" i="25"/>
  <c r="L83" i="25"/>
  <c r="AL2" i="38"/>
  <c r="D17" i="25"/>
  <c r="C78" i="25"/>
  <c r="C83" i="25"/>
  <c r="E95" i="25" s="1"/>
  <c r="L82" i="25"/>
  <c r="L95" i="25" s="1"/>
  <c r="V2" i="29"/>
  <c r="S2" i="41"/>
  <c r="C77" i="25"/>
  <c r="C80" i="25"/>
  <c r="BC2" i="39"/>
  <c r="C82" i="25"/>
  <c r="AA48" i="38"/>
  <c r="U48" i="38"/>
  <c r="B149" i="62"/>
  <c r="B143" i="62"/>
  <c r="B114" i="62"/>
  <c r="B42" i="62"/>
  <c r="B70" i="63"/>
  <c r="B262" i="62"/>
  <c r="B27" i="62"/>
  <c r="B204" i="62"/>
  <c r="B271" i="62"/>
  <c r="B167" i="62"/>
  <c r="B67" i="63"/>
  <c r="B32" i="62"/>
  <c r="B7" i="62"/>
  <c r="B24" i="63"/>
  <c r="B131" i="62"/>
  <c r="B73" i="63"/>
  <c r="B246" i="62"/>
  <c r="B84" i="62"/>
  <c r="B260" i="62"/>
  <c r="B195" i="62"/>
  <c r="B110" i="62"/>
  <c r="B230" i="62"/>
  <c r="B37" i="63"/>
  <c r="B24" i="62"/>
  <c r="B257" i="62"/>
  <c r="B14" i="62"/>
  <c r="B235" i="62"/>
  <c r="B128" i="62"/>
  <c r="B175" i="62"/>
  <c r="B57" i="63"/>
  <c r="B55" i="63"/>
  <c r="B20" i="62"/>
  <c r="B252" i="62"/>
  <c r="B74" i="62"/>
  <c r="B56" i="63"/>
  <c r="B107" i="62"/>
  <c r="B8" i="63"/>
  <c r="B250" i="62"/>
  <c r="B6" i="62"/>
  <c r="B156" i="62"/>
  <c r="B238" i="62"/>
  <c r="B88" i="62"/>
  <c r="B32" i="63"/>
  <c r="B43" i="62"/>
  <c r="B64" i="62"/>
  <c r="B267" i="62"/>
  <c r="B247" i="62"/>
  <c r="B66" i="62"/>
  <c r="B22" i="62"/>
  <c r="B137" i="62"/>
  <c r="B139" i="62"/>
  <c r="B14" i="63"/>
  <c r="B82" i="63"/>
  <c r="B50" i="62"/>
  <c r="B249" i="62"/>
  <c r="B121" i="62"/>
  <c r="B81" i="63"/>
  <c r="B25" i="62"/>
  <c r="B219" i="62"/>
  <c r="B26" i="62"/>
  <c r="B66" i="63"/>
  <c r="B106" i="62"/>
  <c r="B129" i="62"/>
  <c r="B212" i="62"/>
  <c r="B90" i="62"/>
  <c r="B94" i="62"/>
  <c r="B215" i="62"/>
  <c r="B146" i="62"/>
  <c r="B66" i="61"/>
  <c r="B74" i="61"/>
  <c r="B98" i="61"/>
  <c r="B150" i="61"/>
  <c r="B42" i="61"/>
  <c r="B125" i="61"/>
  <c r="B159" i="61"/>
  <c r="B6" i="61"/>
  <c r="B87" i="61"/>
  <c r="B114" i="61"/>
  <c r="B54" i="61"/>
  <c r="B188" i="61"/>
  <c r="B96" i="61"/>
  <c r="B29" i="61"/>
  <c r="B27" i="61"/>
  <c r="B19" i="61"/>
  <c r="B208" i="62"/>
  <c r="B255" i="62"/>
  <c r="B221" i="62"/>
  <c r="B89" i="62"/>
  <c r="B134" i="62"/>
  <c r="B206" i="62"/>
  <c r="B125" i="62"/>
  <c r="B96" i="62"/>
  <c r="B62" i="62"/>
  <c r="B68" i="62"/>
  <c r="B108" i="62"/>
  <c r="B48" i="62"/>
  <c r="B12" i="62"/>
  <c r="B58" i="63"/>
  <c r="B21" i="62"/>
  <c r="B13" i="63"/>
  <c r="B218" i="62"/>
  <c r="B236" i="62"/>
  <c r="B41" i="63"/>
  <c r="B61" i="62"/>
  <c r="B78" i="63"/>
  <c r="B147" i="62"/>
  <c r="B210" i="62"/>
  <c r="B253" i="62"/>
  <c r="B101" i="62"/>
  <c r="B56" i="62"/>
  <c r="B184" i="62"/>
  <c r="B220" i="62"/>
  <c r="B117" i="62"/>
  <c r="B53" i="63"/>
  <c r="B65" i="63"/>
  <c r="B72" i="62"/>
  <c r="B40" i="63"/>
  <c r="B75" i="63"/>
  <c r="B11" i="62"/>
  <c r="B211" i="62"/>
  <c r="B140" i="62"/>
  <c r="B109" i="62"/>
  <c r="B63" i="63"/>
  <c r="B61" i="63"/>
  <c r="B85" i="62"/>
  <c r="B188" i="62"/>
  <c r="B69" i="63"/>
  <c r="B73" i="62"/>
  <c r="B152" i="62"/>
  <c r="B251" i="62"/>
  <c r="B76" i="63"/>
  <c r="B104" i="62"/>
  <c r="B70" i="62"/>
  <c r="B23" i="63"/>
  <c r="B169" i="62"/>
  <c r="B21" i="63"/>
  <c r="B162" i="62"/>
  <c r="B55" i="61"/>
  <c r="B20" i="61"/>
  <c r="B163" i="61"/>
  <c r="B166" i="61"/>
  <c r="B192" i="61"/>
  <c r="B160" i="61"/>
  <c r="B175" i="61"/>
  <c r="B58" i="61"/>
  <c r="B170" i="61"/>
  <c r="B61" i="61"/>
  <c r="B56" i="61"/>
  <c r="B171" i="61"/>
  <c r="B138" i="61"/>
  <c r="B101" i="61"/>
  <c r="B179" i="61"/>
  <c r="B65" i="61"/>
  <c r="B12" i="61"/>
  <c r="B172" i="61"/>
  <c r="B128" i="61"/>
  <c r="B44" i="61"/>
  <c r="B147" i="61"/>
  <c r="B129" i="61"/>
  <c r="B39" i="61"/>
  <c r="B91" i="61"/>
  <c r="B106" i="61"/>
  <c r="B132" i="61"/>
  <c r="B94" i="61"/>
  <c r="B232" i="62"/>
  <c r="B120" i="62"/>
  <c r="B122" i="62"/>
  <c r="B209" i="62"/>
  <c r="B118" i="62"/>
  <c r="B72" i="63"/>
  <c r="B26" i="63"/>
  <c r="B199" i="62"/>
  <c r="B100" i="62"/>
  <c r="B80" i="63"/>
  <c r="B71" i="63"/>
  <c r="B264" i="62"/>
  <c r="B182" i="62"/>
  <c r="B244" i="62"/>
  <c r="B233" i="62"/>
  <c r="B227" i="62"/>
  <c r="B193" i="62"/>
  <c r="B150" i="62"/>
  <c r="B103" i="62"/>
  <c r="B231" i="62"/>
  <c r="B111" i="62"/>
  <c r="B45" i="62"/>
  <c r="B60" i="62"/>
  <c r="B77" i="62"/>
  <c r="B183" i="62"/>
  <c r="B44" i="63"/>
  <c r="B34" i="62"/>
  <c r="B132" i="62"/>
  <c r="B51" i="62"/>
  <c r="B186" i="62"/>
  <c r="B31" i="63"/>
  <c r="B9" i="63"/>
  <c r="B203" i="62"/>
  <c r="B17" i="62"/>
  <c r="B124" i="62"/>
  <c r="B187" i="62"/>
  <c r="B126" i="62"/>
  <c r="B19" i="63"/>
  <c r="B153" i="62"/>
  <c r="B116" i="62"/>
  <c r="B176" i="62"/>
  <c r="B166" i="62"/>
  <c r="B102" i="62"/>
  <c r="B142" i="62"/>
  <c r="B141" i="62"/>
  <c r="B78" i="62"/>
  <c r="B42" i="63"/>
  <c r="B11" i="63"/>
  <c r="B181" i="62"/>
  <c r="B258" i="62"/>
  <c r="B51" i="63"/>
  <c r="B202" i="62"/>
  <c r="B138" i="62"/>
  <c r="B10" i="62"/>
  <c r="B48" i="63"/>
  <c r="B185" i="62"/>
  <c r="B8" i="62"/>
  <c r="B54" i="63"/>
  <c r="B35" i="63"/>
  <c r="B41" i="62"/>
  <c r="B98" i="62"/>
  <c r="B33" i="62"/>
  <c r="B95" i="62"/>
  <c r="B16" i="63"/>
  <c r="B44" i="62"/>
  <c r="B268" i="62"/>
  <c r="B49" i="62"/>
  <c r="B148" i="62"/>
  <c r="B36" i="62"/>
  <c r="B165" i="62"/>
  <c r="B83" i="62"/>
  <c r="B189" i="62"/>
  <c r="B254" i="62"/>
  <c r="B79" i="63"/>
  <c r="B23" i="62"/>
  <c r="B30" i="62"/>
  <c r="B136" i="62"/>
  <c r="B263" i="62"/>
  <c r="B229" i="62"/>
  <c r="B105" i="62"/>
  <c r="B86" i="62"/>
  <c r="B164" i="62"/>
  <c r="B205" i="62"/>
  <c r="B198" i="62"/>
  <c r="B201" i="62"/>
  <c r="B113" i="62"/>
  <c r="B242" i="62"/>
  <c r="B18" i="63"/>
  <c r="B64" i="63"/>
  <c r="B200" i="62"/>
  <c r="B75" i="62"/>
  <c r="B77" i="63"/>
  <c r="B243" i="62"/>
  <c r="B68" i="63"/>
  <c r="B65" i="62"/>
  <c r="B248" i="62"/>
  <c r="B71" i="62"/>
  <c r="B28" i="63"/>
  <c r="B55" i="62"/>
  <c r="B177" i="62"/>
  <c r="B60" i="63"/>
  <c r="B217" i="62"/>
  <c r="B117" i="61"/>
  <c r="B104" i="61"/>
  <c r="B43" i="61"/>
  <c r="B151" i="61"/>
  <c r="B38" i="61"/>
  <c r="B168" i="61"/>
  <c r="B92" i="61"/>
  <c r="B8" i="61"/>
  <c r="B73" i="61"/>
  <c r="B134" i="61"/>
  <c r="B13" i="61"/>
  <c r="B189" i="61"/>
  <c r="B112" i="61"/>
  <c r="B84" i="61"/>
  <c r="B7" i="61"/>
  <c r="B176" i="61"/>
  <c r="B169" i="61"/>
  <c r="B23" i="61"/>
  <c r="B11" i="61"/>
  <c r="B46" i="61"/>
  <c r="B153" i="61"/>
  <c r="B79" i="61"/>
  <c r="B75" i="61"/>
  <c r="B50" i="61"/>
  <c r="B184" i="61"/>
  <c r="B110" i="61"/>
  <c r="B80" i="61"/>
  <c r="B53" i="62"/>
  <c r="B25" i="63"/>
  <c r="B9" i="62"/>
  <c r="B241" i="62"/>
  <c r="B82" i="62"/>
  <c r="B57" i="62"/>
  <c r="B38" i="63"/>
  <c r="B33" i="63"/>
  <c r="B191" i="62"/>
  <c r="B237" i="62"/>
  <c r="B178" i="62"/>
  <c r="B28" i="62"/>
  <c r="B46" i="62"/>
  <c r="B39" i="63"/>
  <c r="B99" i="62"/>
  <c r="B127" i="62"/>
  <c r="B222" i="62"/>
  <c r="B31" i="62"/>
  <c r="B58" i="62"/>
  <c r="B47" i="62"/>
  <c r="B223" i="62"/>
  <c r="B34" i="63"/>
  <c r="B192" i="62"/>
  <c r="B62" i="63"/>
  <c r="B226" i="62"/>
  <c r="B269" i="62"/>
  <c r="B80" i="62"/>
  <c r="B245" i="62"/>
  <c r="B196" i="62"/>
  <c r="B22" i="63"/>
  <c r="B59" i="63"/>
  <c r="B92" i="62"/>
  <c r="B127" i="61"/>
  <c r="B194" i="61"/>
  <c r="B89" i="61"/>
  <c r="B161" i="61"/>
  <c r="B165" i="61"/>
  <c r="B90" i="61"/>
  <c r="B182" i="61"/>
  <c r="B141" i="61"/>
  <c r="B130" i="61"/>
  <c r="B26" i="61"/>
  <c r="B24" i="61"/>
  <c r="B195" i="61"/>
  <c r="B191" i="61"/>
  <c r="B109" i="61"/>
  <c r="B99" i="61"/>
  <c r="B174" i="61"/>
  <c r="B83" i="61"/>
  <c r="B177" i="61"/>
  <c r="B35" i="61"/>
  <c r="B162" i="61"/>
  <c r="B102" i="61"/>
  <c r="B170" i="62"/>
  <c r="B173" i="62"/>
  <c r="B194" i="62"/>
  <c r="B190" i="62"/>
  <c r="B207" i="62"/>
  <c r="B18" i="61"/>
  <c r="B63" i="61"/>
  <c r="B60" i="61"/>
  <c r="B193" i="61"/>
  <c r="B41" i="61"/>
  <c r="B213" i="62"/>
  <c r="B93" i="62"/>
  <c r="B224" i="62"/>
  <c r="B159" i="62"/>
  <c r="B174" i="62"/>
  <c r="B40" i="61"/>
  <c r="B119" i="61"/>
  <c r="B178" i="61"/>
  <c r="B68" i="61"/>
  <c r="B136" i="61"/>
  <c r="B240" i="62"/>
  <c r="B52" i="62"/>
  <c r="B151" i="62"/>
  <c r="B115" i="62"/>
  <c r="B172" i="62"/>
  <c r="B87" i="62"/>
  <c r="B67" i="62"/>
  <c r="B119" i="62"/>
  <c r="B214" i="62"/>
  <c r="B29" i="63"/>
  <c r="B155" i="62"/>
  <c r="B15" i="62"/>
  <c r="B76" i="62"/>
  <c r="B228" i="62"/>
  <c r="B183" i="61"/>
  <c r="B97" i="61"/>
  <c r="B173" i="61"/>
  <c r="B70" i="61"/>
  <c r="B133" i="61"/>
  <c r="B186" i="61"/>
  <c r="B135" i="61"/>
  <c r="B57" i="61"/>
  <c r="B144" i="61"/>
  <c r="B115" i="61"/>
  <c r="B137" i="61"/>
  <c r="B59" i="61"/>
  <c r="B64" i="61"/>
  <c r="B120" i="61"/>
  <c r="B118" i="61"/>
  <c r="B35" i="62"/>
  <c r="B180" i="61"/>
  <c r="B37" i="61"/>
  <c r="B81" i="61"/>
  <c r="B52" i="63"/>
  <c r="B69" i="62"/>
  <c r="B15" i="63"/>
  <c r="B180" i="62"/>
  <c r="B95" i="61"/>
  <c r="B113" i="61"/>
  <c r="B82" i="61"/>
  <c r="B140" i="61"/>
  <c r="B116" i="61"/>
  <c r="B12" i="63"/>
  <c r="B10" i="63"/>
  <c r="B261" i="62"/>
  <c r="B181" i="61"/>
  <c r="B111" i="61"/>
  <c r="B142" i="61"/>
  <c r="B17" i="61"/>
  <c r="B10" i="61"/>
  <c r="B160" i="62"/>
  <c r="B17" i="63"/>
  <c r="B225" i="62"/>
  <c r="B216" i="62"/>
  <c r="B259" i="62"/>
  <c r="B97" i="62"/>
  <c r="B133" i="62"/>
  <c r="B270" i="62"/>
  <c r="B135" i="62"/>
  <c r="B265" i="62"/>
  <c r="B91" i="62"/>
  <c r="B45" i="63"/>
  <c r="B256" i="62"/>
  <c r="B74" i="63"/>
  <c r="B152" i="61"/>
  <c r="B105" i="61"/>
  <c r="B49" i="61"/>
  <c r="B88" i="61"/>
  <c r="B36" i="61"/>
  <c r="B103" i="61"/>
  <c r="B126" i="61"/>
  <c r="B164" i="61"/>
  <c r="B131" i="61"/>
  <c r="B143" i="61"/>
  <c r="B93" i="61"/>
  <c r="B51" i="61"/>
  <c r="B76" i="61"/>
  <c r="B185" i="61"/>
  <c r="B45" i="61"/>
  <c r="B154" i="62"/>
  <c r="B130" i="62"/>
  <c r="B168" i="62"/>
  <c r="B7" i="63"/>
  <c r="B112" i="62"/>
  <c r="B179" i="62"/>
  <c r="B16" i="62"/>
  <c r="B29" i="62"/>
  <c r="B266" i="62"/>
  <c r="B6" i="63"/>
  <c r="B197" i="62"/>
  <c r="B27" i="63"/>
  <c r="B187" i="61"/>
  <c r="B69" i="61"/>
  <c r="B145" i="61"/>
  <c r="B22" i="61"/>
  <c r="B146" i="61"/>
  <c r="B21" i="61"/>
  <c r="B167" i="61"/>
  <c r="B239" i="62"/>
  <c r="B54" i="62"/>
  <c r="B171" i="62"/>
  <c r="B43" i="63"/>
  <c r="B28" i="61"/>
  <c r="B139" i="61"/>
  <c r="B14" i="61"/>
  <c r="B16" i="61"/>
  <c r="B9" i="61"/>
  <c r="B100" i="61"/>
  <c r="B163" i="62"/>
  <c r="B59" i="62"/>
  <c r="B30" i="63"/>
  <c r="B20" i="63"/>
  <c r="B36" i="63"/>
  <c r="B62" i="61"/>
  <c r="B190" i="61"/>
  <c r="B15" i="61"/>
  <c r="B67" i="61"/>
  <c r="B25" i="61"/>
  <c r="P49" i="25" l="1"/>
  <c r="Y78" i="25"/>
  <c r="Y86" i="25"/>
  <c r="AE90" i="25" s="1"/>
  <c r="AG90" i="25" s="1"/>
  <c r="AO9" i="38"/>
  <c r="AO56" i="38" s="1"/>
  <c r="AB72" i="46"/>
  <c r="D22" i="29"/>
  <c r="Y96" i="25"/>
  <c r="AB82" i="46"/>
  <c r="Y83" i="25"/>
  <c r="AQ34" i="34" s="1"/>
  <c r="D87" i="46"/>
  <c r="G49" i="25"/>
  <c r="S13" i="64"/>
  <c r="D44" i="34"/>
  <c r="L7" i="39"/>
  <c r="V7" i="39"/>
  <c r="D71" i="46"/>
  <c r="Y67" i="25"/>
  <c r="AQ14" i="34" s="1"/>
  <c r="AB77" i="46"/>
  <c r="R115" i="29"/>
  <c r="R106" i="29"/>
  <c r="Y98" i="25"/>
  <c r="AQ52" i="34" s="1"/>
  <c r="S12" i="64"/>
  <c r="D104" i="46"/>
  <c r="D112" i="46"/>
  <c r="Y75" i="25"/>
  <c r="D5" i="46"/>
  <c r="Y70" i="25"/>
  <c r="AE70" i="25" s="1"/>
  <c r="AG70" i="25" s="1"/>
  <c r="Y71" i="25"/>
  <c r="AE74" i="25" s="1"/>
  <c r="AG74" i="25" s="1"/>
  <c r="D72" i="46"/>
  <c r="Y74" i="25"/>
  <c r="J53" i="25" s="1"/>
  <c r="L9" i="34"/>
  <c r="R107" i="29"/>
  <c r="AC7" i="34"/>
  <c r="T10" i="38"/>
  <c r="O18" i="34"/>
  <c r="O24" i="34"/>
  <c r="O26" i="34"/>
  <c r="O20" i="34"/>
  <c r="N6" i="39"/>
  <c r="Y85" i="25"/>
  <c r="AB82" i="25" s="1"/>
  <c r="D102" i="46"/>
  <c r="AB83" i="46"/>
  <c r="R110" i="29"/>
  <c r="AB85" i="46"/>
  <c r="D3" i="46"/>
  <c r="D36" i="46"/>
  <c r="D111" i="46"/>
  <c r="D101" i="46"/>
  <c r="R111" i="29"/>
  <c r="D96" i="46"/>
  <c r="D81" i="46"/>
  <c r="D85" i="46"/>
  <c r="AB84" i="46"/>
  <c r="AB81" i="46"/>
  <c r="R105" i="29"/>
  <c r="Y79" i="25"/>
  <c r="D86" i="46"/>
  <c r="B121" i="46" s="1"/>
  <c r="D113" i="46"/>
  <c r="D83" i="46"/>
  <c r="Y89" i="25"/>
  <c r="AQ41" i="34" s="1"/>
  <c r="D110" i="46"/>
  <c r="S16" i="39"/>
  <c r="AL9" i="38"/>
  <c r="D54" i="34"/>
  <c r="D109" i="46"/>
  <c r="Y93" i="25"/>
  <c r="T48" i="38" s="1"/>
  <c r="S15" i="39"/>
  <c r="D34" i="34"/>
  <c r="D70" i="46"/>
  <c r="B119" i="46" s="1"/>
  <c r="D82" i="46"/>
  <c r="Y88" i="25"/>
  <c r="Y92" i="25"/>
  <c r="AE92" i="25" s="1"/>
  <c r="AG92" i="25" s="1"/>
  <c r="G9" i="38"/>
  <c r="Y82" i="25"/>
  <c r="D5" i="38"/>
  <c r="R116" i="29"/>
  <c r="D14" i="29"/>
  <c r="R108" i="29"/>
  <c r="R113" i="29"/>
  <c r="D105" i="46"/>
  <c r="D13" i="38"/>
  <c r="Y84" i="25"/>
  <c r="AE88" i="25" s="1"/>
  <c r="AG88" i="25" s="1"/>
  <c r="E31" i="34"/>
  <c r="O16" i="34"/>
  <c r="O14" i="34"/>
  <c r="O28" i="34"/>
  <c r="O22" i="34"/>
  <c r="G14" i="34"/>
  <c r="G22" i="34"/>
  <c r="D90" i="46"/>
  <c r="Y76" i="25"/>
  <c r="D91" i="46"/>
  <c r="D88" i="46"/>
  <c r="D94" i="46"/>
  <c r="B122" i="46" s="1"/>
  <c r="AB73" i="46"/>
  <c r="D38" i="46"/>
  <c r="D50" i="34"/>
  <c r="D80" i="46"/>
  <c r="AB74" i="46"/>
  <c r="AC8" i="34"/>
  <c r="T11" i="38"/>
  <c r="D19" i="39"/>
  <c r="D14" i="39"/>
  <c r="M49" i="25"/>
  <c r="D9" i="39"/>
  <c r="Y90" i="25"/>
  <c r="AQ42" i="34" s="1"/>
  <c r="D77" i="46"/>
  <c r="F126" i="63"/>
  <c r="S126" i="63" s="1"/>
  <c r="AA72" i="25"/>
  <c r="F101" i="63"/>
  <c r="F124" i="63"/>
  <c r="J124" i="63" s="1"/>
  <c r="F116" i="63"/>
  <c r="R116" i="63" s="1"/>
  <c r="F129" i="63"/>
  <c r="O129" i="63" s="1"/>
  <c r="F125" i="63"/>
  <c r="S125" i="63" s="1"/>
  <c r="F117" i="63"/>
  <c r="R117" i="63" s="1"/>
  <c r="AA85" i="25"/>
  <c r="AA74" i="25"/>
  <c r="AC74" i="25" s="1"/>
  <c r="F115" i="63"/>
  <c r="S115" i="63" s="1"/>
  <c r="F112" i="63"/>
  <c r="S112" i="63" s="1"/>
  <c r="F119" i="63"/>
  <c r="O119" i="63" s="1"/>
  <c r="AA68" i="25"/>
  <c r="AA89" i="25"/>
  <c r="AA69" i="25"/>
  <c r="AC69" i="25" s="1"/>
  <c r="AA90" i="25"/>
  <c r="AQ96" i="34" s="1"/>
  <c r="F118" i="63"/>
  <c r="O118" i="63" s="1"/>
  <c r="F121" i="63"/>
  <c r="R121" i="63" s="1"/>
  <c r="AA80" i="25"/>
  <c r="AA83" i="25"/>
  <c r="AO83" i="34"/>
  <c r="AA97" i="25"/>
  <c r="AQ103" i="34" s="1"/>
  <c r="F128" i="63"/>
  <c r="I128" i="63" s="1"/>
  <c r="AA93" i="25"/>
  <c r="AA82" i="25"/>
  <c r="AA84" i="25"/>
  <c r="F123" i="63"/>
  <c r="S123" i="63" s="1"/>
  <c r="F105" i="63"/>
  <c r="K105" i="63" s="1"/>
  <c r="AA94" i="25"/>
  <c r="AA98" i="25"/>
  <c r="F103" i="63"/>
  <c r="R103" i="63" s="1"/>
  <c r="F122" i="63"/>
  <c r="S122" i="63" s="1"/>
  <c r="F114" i="63"/>
  <c r="Q114" i="63" s="1"/>
  <c r="F100" i="63"/>
  <c r="P100" i="63" s="1"/>
  <c r="F113" i="63"/>
  <c r="O113" i="63" s="1"/>
  <c r="AA79" i="25"/>
  <c r="AC79" i="25" s="1"/>
  <c r="AA70" i="25"/>
  <c r="F110" i="63"/>
  <c r="K110" i="63" s="1"/>
  <c r="AA95" i="25"/>
  <c r="AC95" i="25" s="1"/>
  <c r="AA96" i="25"/>
  <c r="AB96" i="25" s="1"/>
  <c r="F106" i="63"/>
  <c r="N106" i="63" s="1"/>
  <c r="AA76" i="25"/>
  <c r="AQ82" i="34" s="1"/>
  <c r="AA77" i="25"/>
  <c r="AZ82" i="39"/>
  <c r="F120" i="63"/>
  <c r="O120" i="63" s="1"/>
  <c r="AA78" i="25"/>
  <c r="AB78" i="25" s="1"/>
  <c r="AA91" i="25"/>
  <c r="AA75" i="25"/>
  <c r="AC75" i="25" s="1"/>
  <c r="AA88" i="25"/>
  <c r="AA73" i="25"/>
  <c r="F104" i="63"/>
  <c r="R104" i="63" s="1"/>
  <c r="F109" i="63"/>
  <c r="P109" i="63" s="1"/>
  <c r="AA71" i="25"/>
  <c r="F131" i="63"/>
  <c r="O131" i="63" s="1"/>
  <c r="AA67" i="25"/>
  <c r="AC67" i="25" s="1"/>
  <c r="F111" i="63"/>
  <c r="H111" i="63" s="1"/>
  <c r="F127" i="63"/>
  <c r="K127" i="63" s="1"/>
  <c r="F130" i="63"/>
  <c r="R130" i="63" s="1"/>
  <c r="F108" i="63"/>
  <c r="P108" i="63" s="1"/>
  <c r="AA86" i="25"/>
  <c r="AQ92" i="34" s="1"/>
  <c r="AA92" i="25"/>
  <c r="AA81" i="25"/>
  <c r="AA87" i="25"/>
  <c r="F102" i="63"/>
  <c r="G102" i="63" s="1"/>
  <c r="F107" i="63"/>
  <c r="K107" i="63" s="1"/>
  <c r="D92" i="46"/>
  <c r="D73" i="46"/>
  <c r="J49" i="25"/>
  <c r="Y95" i="25"/>
  <c r="T51" i="38" s="1"/>
  <c r="G52" i="34"/>
  <c r="O52" i="34"/>
  <c r="AB75" i="46"/>
  <c r="AB89" i="46"/>
  <c r="Y77" i="25"/>
  <c r="D78" i="46"/>
  <c r="B120" i="46" s="1"/>
  <c r="D93" i="46"/>
  <c r="Y69" i="25"/>
  <c r="M55" i="25"/>
  <c r="M56" i="25" s="1"/>
  <c r="T9" i="38"/>
  <c r="AC6" i="34"/>
  <c r="S12" i="38"/>
  <c r="AB9" i="34"/>
  <c r="Y97" i="25"/>
  <c r="D75" i="46"/>
  <c r="G46" i="34"/>
  <c r="O38" i="34"/>
  <c r="O40" i="34"/>
  <c r="O48" i="34"/>
  <c r="G48" i="34"/>
  <c r="G40" i="34"/>
  <c r="O42" i="34"/>
  <c r="O56" i="34"/>
  <c r="O46" i="34"/>
  <c r="G38" i="34"/>
  <c r="G56" i="34"/>
  <c r="O36" i="34"/>
  <c r="G42" i="34"/>
  <c r="G36" i="34"/>
  <c r="AP9" i="38"/>
  <c r="AP56" i="38" s="1"/>
  <c r="S14" i="39"/>
  <c r="D84" i="46"/>
  <c r="D114" i="46"/>
  <c r="AB128" i="46"/>
  <c r="D74" i="46"/>
  <c r="M55" i="64"/>
  <c r="M78" i="64"/>
  <c r="M50" i="64"/>
  <c r="M40" i="64"/>
  <c r="M120" i="64"/>
  <c r="M20" i="64"/>
  <c r="M108" i="64"/>
  <c r="M30" i="64"/>
  <c r="M72" i="64"/>
  <c r="M15" i="64"/>
  <c r="M60" i="64"/>
  <c r="M45" i="64"/>
  <c r="M90" i="64"/>
  <c r="M84" i="64"/>
  <c r="M25" i="64"/>
  <c r="M66" i="64"/>
  <c r="M114" i="64"/>
  <c r="M35" i="64"/>
  <c r="M102" i="64"/>
  <c r="M96" i="64"/>
  <c r="D89" i="46"/>
  <c r="J55" i="25"/>
  <c r="J59" i="25" s="1"/>
  <c r="D98" i="46"/>
  <c r="R129" i="46"/>
  <c r="R109" i="29"/>
  <c r="R114" i="29"/>
  <c r="D63" i="46"/>
  <c r="B118" i="46" s="1"/>
  <c r="G55" i="25"/>
  <c r="G56" i="25" s="1"/>
  <c r="AB80" i="46"/>
  <c r="Y80" i="25"/>
  <c r="D33" i="34"/>
  <c r="D79" i="46"/>
  <c r="Y94" i="25"/>
  <c r="E32" i="34"/>
  <c r="D76" i="46"/>
  <c r="D99" i="46"/>
  <c r="AQ9" i="38"/>
  <c r="AQ56" i="38" s="1"/>
  <c r="P55" i="25"/>
  <c r="P59" i="25" s="1"/>
  <c r="D7" i="64"/>
  <c r="D106" i="46"/>
  <c r="Y72" i="25"/>
  <c r="F54" i="39"/>
  <c r="F51" i="34"/>
  <c r="F13" i="34"/>
  <c r="F24" i="39"/>
  <c r="F44" i="39"/>
  <c r="F55" i="34"/>
  <c r="F35" i="34"/>
  <c r="F34" i="39"/>
  <c r="P24" i="39"/>
  <c r="F45" i="34"/>
  <c r="P34" i="39"/>
  <c r="P44" i="39"/>
  <c r="D95" i="46"/>
  <c r="D108" i="46"/>
  <c r="B124" i="46" s="1"/>
  <c r="D97" i="46"/>
  <c r="D24" i="29"/>
  <c r="U26" i="29"/>
  <c r="S26" i="29" s="1"/>
  <c r="R112" i="29"/>
  <c r="D103" i="46"/>
  <c r="D100" i="46"/>
  <c r="B123" i="46" s="1"/>
  <c r="K24" i="38"/>
  <c r="V30" i="38" s="1"/>
  <c r="AB30" i="38" s="1"/>
  <c r="AE30" i="38" s="1"/>
  <c r="AL31" i="38" s="1"/>
  <c r="AL35" i="38" s="1"/>
  <c r="N53" i="39"/>
  <c r="AB53" i="39" s="1"/>
  <c r="D33" i="39"/>
  <c r="D43" i="39"/>
  <c r="AD66" i="39" s="1"/>
  <c r="D34" i="38"/>
  <c r="V35" i="38" s="1"/>
  <c r="AB35" i="38" s="1"/>
  <c r="AC35" i="38" s="1"/>
  <c r="N23" i="39"/>
  <c r="AB23" i="39" s="1"/>
  <c r="K34" i="38"/>
  <c r="V40" i="38" s="1"/>
  <c r="AB40" i="38" s="1"/>
  <c r="AE40" i="38" s="1"/>
  <c r="AL41" i="38" s="1"/>
  <c r="AL45" i="38" s="1"/>
  <c r="D14" i="38"/>
  <c r="V15" i="38" s="1"/>
  <c r="AB15" i="38" s="1"/>
  <c r="AE15" i="38" s="1"/>
  <c r="AL16" i="38" s="1"/>
  <c r="AL20" i="38" s="1"/>
  <c r="D53" i="39"/>
  <c r="Y53" i="39" s="1"/>
  <c r="N43" i="39"/>
  <c r="AJ55" i="39" s="1"/>
  <c r="AJ88" i="39" s="1"/>
  <c r="D24" i="38"/>
  <c r="V25" i="38" s="1"/>
  <c r="AB25" i="38" s="1"/>
  <c r="AE25" i="38" s="1"/>
  <c r="AL26" i="38" s="1"/>
  <c r="AL30" i="38" s="1"/>
  <c r="AB50" i="38"/>
  <c r="AE50" i="38" s="1"/>
  <c r="AL51" i="38" s="1"/>
  <c r="D23" i="39"/>
  <c r="Y23" i="39" s="1"/>
  <c r="N33" i="39"/>
  <c r="AJ37" i="39" s="1"/>
  <c r="AJ86" i="39" s="1"/>
  <c r="AB45" i="38"/>
  <c r="AE45" i="38" s="1"/>
  <c r="AL46" i="38" s="1"/>
  <c r="AL50" i="38" s="1"/>
  <c r="K14" i="38"/>
  <c r="V20" i="38" s="1"/>
  <c r="AB20" i="38" s="1"/>
  <c r="AE20" i="38" s="1"/>
  <c r="AL21" i="38" s="1"/>
  <c r="AL25" i="38" s="1"/>
  <c r="D107" i="46"/>
  <c r="V22" i="39"/>
  <c r="Y12" i="34"/>
  <c r="Y73" i="25"/>
  <c r="AE80" i="25" s="1"/>
  <c r="AG80" i="25" s="1"/>
  <c r="G24" i="39"/>
  <c r="G34" i="39"/>
  <c r="G13" i="34"/>
  <c r="G51" i="34"/>
  <c r="Q24" i="39"/>
  <c r="Q34" i="39"/>
  <c r="G55" i="34"/>
  <c r="G44" i="39"/>
  <c r="G35" i="34"/>
  <c r="G45" i="34"/>
  <c r="G54" i="39"/>
  <c r="Q44" i="39"/>
  <c r="Q54" i="39"/>
  <c r="D5" i="34"/>
  <c r="Y87" i="25"/>
  <c r="Y68" i="25"/>
  <c r="AE86" i="25" s="1"/>
  <c r="AG86" i="25" s="1"/>
  <c r="G16" i="34"/>
  <c r="G28" i="34"/>
  <c r="G26" i="34"/>
  <c r="G18" i="34"/>
  <c r="G24" i="34"/>
  <c r="G20" i="34"/>
  <c r="E44" i="39"/>
  <c r="O54" i="39"/>
  <c r="E55" i="34"/>
  <c r="O44" i="39"/>
  <c r="E51" i="34"/>
  <c r="E34" i="39"/>
  <c r="E54" i="39"/>
  <c r="O34" i="39"/>
  <c r="E13" i="34"/>
  <c r="E45" i="34"/>
  <c r="O24" i="39"/>
  <c r="E24" i="39"/>
  <c r="E35" i="34"/>
  <c r="AB88" i="46"/>
  <c r="D5" i="64"/>
  <c r="D6" i="39"/>
  <c r="J44" i="39"/>
  <c r="W51" i="34"/>
  <c r="T44" i="39"/>
  <c r="T24" i="39"/>
  <c r="W55" i="34"/>
  <c r="J34" i="39"/>
  <c r="W13" i="34"/>
  <c r="W35" i="34"/>
  <c r="T54" i="39"/>
  <c r="J54" i="39"/>
  <c r="W45" i="34"/>
  <c r="T34" i="39"/>
  <c r="J24" i="39"/>
  <c r="Y91" i="25"/>
  <c r="AE91" i="25" s="1"/>
  <c r="AG91" i="25" s="1"/>
  <c r="Y81" i="25"/>
  <c r="AB79" i="25" s="1"/>
  <c r="D3" i="64"/>
  <c r="D3" i="34"/>
  <c r="D3" i="39"/>
  <c r="D3" i="38"/>
  <c r="L59" i="34"/>
  <c r="AB76" i="46"/>
  <c r="C2" i="64"/>
  <c r="D11" i="34"/>
  <c r="D11" i="39"/>
  <c r="R101" i="63"/>
  <c r="G101" i="63"/>
  <c r="D11" i="64"/>
  <c r="AA47" i="38"/>
  <c r="U47" i="38"/>
  <c r="U51" i="38"/>
  <c r="AA52" i="38"/>
  <c r="AA46" i="38"/>
  <c r="AA54" i="38"/>
  <c r="AG12" i="39"/>
  <c r="AG11" i="39"/>
  <c r="U49" i="38"/>
  <c r="U53" i="38"/>
  <c r="AA51" i="38"/>
  <c r="U52" i="38"/>
  <c r="U46" i="38"/>
  <c r="AO66" i="38"/>
  <c r="AQ66" i="38"/>
  <c r="AP66" i="38"/>
  <c r="AG35" i="39"/>
  <c r="AG24" i="39"/>
  <c r="AG25" i="39"/>
  <c r="AG36" i="39"/>
  <c r="L110" i="63"/>
  <c r="L96" i="25"/>
  <c r="AC94" i="25"/>
  <c r="AC81" i="25"/>
  <c r="AQ16" i="34"/>
  <c r="AQ76" i="34"/>
  <c r="AC84" i="25"/>
  <c r="AQ97" i="34"/>
  <c r="AC89" i="25"/>
  <c r="AQ78" i="34"/>
  <c r="AQ32" i="34"/>
  <c r="AC80" i="25"/>
  <c r="AC93" i="25"/>
  <c r="AC98" i="25"/>
  <c r="AQ74" i="34"/>
  <c r="AC76" i="25"/>
  <c r="AC71" i="25"/>
  <c r="AQ94" i="34"/>
  <c r="AC96" i="25"/>
  <c r="AQ51" i="34"/>
  <c r="AE87" i="25"/>
  <c r="AG87" i="25" s="1"/>
  <c r="AC92" i="25"/>
  <c r="AC82" i="25"/>
  <c r="AC90" i="25"/>
  <c r="AC85" i="25"/>
  <c r="AC73" i="25"/>
  <c r="P120" i="63"/>
  <c r="J101" i="63"/>
  <c r="M50" i="25"/>
  <c r="K101" i="63"/>
  <c r="N101" i="63"/>
  <c r="AE79" i="25"/>
  <c r="AG79" i="25" s="1"/>
  <c r="P101" i="63"/>
  <c r="G108" i="63"/>
  <c r="AQ99" i="34"/>
  <c r="AC86" i="25"/>
  <c r="I101" i="63"/>
  <c r="L101" i="63"/>
  <c r="O101" i="63"/>
  <c r="H101" i="63"/>
  <c r="Q101" i="63"/>
  <c r="AE73" i="25"/>
  <c r="AG73" i="25" s="1"/>
  <c r="AQ24" i="34"/>
  <c r="S101" i="63"/>
  <c r="AQ37" i="34"/>
  <c r="AE81" i="25"/>
  <c r="AG81" i="25" s="1"/>
  <c r="M101" i="63"/>
  <c r="R100" i="63"/>
  <c r="AK88" i="39"/>
  <c r="AL88" i="39" s="1"/>
  <c r="AM88" i="39" s="1"/>
  <c r="AN88" i="39" s="1"/>
  <c r="AS88" i="39" s="1"/>
  <c r="AK86" i="39"/>
  <c r="AL86" i="39" s="1"/>
  <c r="AM86" i="39" s="1"/>
  <c r="AN86" i="39" s="1"/>
  <c r="AS86" i="39" s="1"/>
  <c r="E92" i="25"/>
  <c r="N108" i="63"/>
  <c r="T52" i="38"/>
  <c r="L92" i="25"/>
  <c r="G110" i="63"/>
  <c r="AE76" i="25"/>
  <c r="AG76" i="25" s="1"/>
  <c r="AQ73" i="34"/>
  <c r="AQ29" i="34"/>
  <c r="I110" i="63"/>
  <c r="P51" i="25"/>
  <c r="J125" i="63"/>
  <c r="AQ86" i="34"/>
  <c r="J108" i="63"/>
  <c r="G125" i="63"/>
  <c r="N125" i="63"/>
  <c r="L93" i="25"/>
  <c r="L90" i="25"/>
  <c r="O125" i="63"/>
  <c r="S108" i="63"/>
  <c r="H102" i="63"/>
  <c r="AB75" i="25"/>
  <c r="M115" i="63"/>
  <c r="AB93" i="25"/>
  <c r="M52" i="25"/>
  <c r="AQ19" i="34"/>
  <c r="L108" i="63"/>
  <c r="K115" i="63"/>
  <c r="I125" i="63"/>
  <c r="K108" i="63"/>
  <c r="AE72" i="25"/>
  <c r="AG72" i="25" s="1"/>
  <c r="AQ26" i="34"/>
  <c r="O108" i="63"/>
  <c r="AQ104" i="34"/>
  <c r="Q108" i="63"/>
  <c r="R109" i="63"/>
  <c r="I108" i="63"/>
  <c r="L125" i="63"/>
  <c r="R108" i="63"/>
  <c r="AQ77" i="34"/>
  <c r="AE96" i="25"/>
  <c r="AG96" i="25" s="1"/>
  <c r="AB69" i="25"/>
  <c r="R102" i="63"/>
  <c r="AE98" i="25"/>
  <c r="AC91" i="25"/>
  <c r="L114" i="63"/>
  <c r="M59" i="25"/>
  <c r="AB70" i="25"/>
  <c r="AB98" i="25"/>
  <c r="AE75" i="25"/>
  <c r="AG75" i="25" s="1"/>
  <c r="AJ46" i="39"/>
  <c r="AJ87" i="39" s="1"/>
  <c r="N112" i="63"/>
  <c r="M57" i="25"/>
  <c r="M58" i="25"/>
  <c r="AB72" i="25"/>
  <c r="AE93" i="25"/>
  <c r="AG93" i="25" s="1"/>
  <c r="AB89" i="25"/>
  <c r="V21" i="38"/>
  <c r="Y8" i="38" s="1"/>
  <c r="I114" i="63"/>
  <c r="AB84" i="25"/>
  <c r="S114" i="63"/>
  <c r="AC70" i="25"/>
  <c r="AQ46" i="34"/>
  <c r="AC72" i="25"/>
  <c r="AB77" i="25"/>
  <c r="H108" i="63"/>
  <c r="M108" i="63"/>
  <c r="R125" i="63"/>
  <c r="AA66" i="39"/>
  <c r="AE68" i="25"/>
  <c r="AG68" i="25" s="1"/>
  <c r="G52" i="25"/>
  <c r="AQ27" i="34"/>
  <c r="M53" i="25"/>
  <c r="I121" i="63"/>
  <c r="P129" i="63"/>
  <c r="H121" i="63"/>
  <c r="R129" i="63"/>
  <c r="G121" i="63"/>
  <c r="H104" i="63"/>
  <c r="K129" i="63"/>
  <c r="AQ83" i="34"/>
  <c r="AE77" i="25"/>
  <c r="AG77" i="25" s="1"/>
  <c r="I112" i="63"/>
  <c r="AC77" i="25"/>
  <c r="G116" i="63"/>
  <c r="AC68" i="25"/>
  <c r="AB68" i="25"/>
  <c r="I106" i="63"/>
  <c r="P112" i="63"/>
  <c r="O126" i="63"/>
  <c r="S116" i="63"/>
  <c r="L85" i="25"/>
  <c r="Q112" i="63"/>
  <c r="J112" i="63"/>
  <c r="I126" i="63"/>
  <c r="Q126" i="63"/>
  <c r="P106" i="63"/>
  <c r="AQ87" i="34"/>
  <c r="AB81" i="25"/>
  <c r="G126" i="63"/>
  <c r="G112" i="63"/>
  <c r="H112" i="63"/>
  <c r="K106" i="63"/>
  <c r="R126" i="63"/>
  <c r="O106" i="63"/>
  <c r="G57" i="25"/>
  <c r="L106" i="63"/>
  <c r="O116" i="63"/>
  <c r="AB43" i="39"/>
  <c r="AQ30" i="34"/>
  <c r="AH59" i="39"/>
  <c r="L112" i="63"/>
  <c r="AQ84" i="34"/>
  <c r="K112" i="63"/>
  <c r="O112" i="63"/>
  <c r="V22" i="38"/>
  <c r="AG17" i="39"/>
  <c r="I103" i="63"/>
  <c r="AC20" i="38"/>
  <c r="AQ17" i="34"/>
  <c r="V24" i="38"/>
  <c r="AA24" i="38" s="1"/>
  <c r="AG37" i="39"/>
  <c r="L91" i="25"/>
  <c r="V23" i="38"/>
  <c r="AA23" i="38" s="1"/>
  <c r="J114" i="63"/>
  <c r="M107" i="63"/>
  <c r="K120" i="63"/>
  <c r="R106" i="63"/>
  <c r="AB74" i="25"/>
  <c r="AG34" i="39"/>
  <c r="J106" i="63"/>
  <c r="M112" i="63"/>
  <c r="M106" i="63"/>
  <c r="R112" i="63"/>
  <c r="R114" i="63"/>
  <c r="Q106" i="63"/>
  <c r="S106" i="63"/>
  <c r="AQ95" i="34"/>
  <c r="AQ93" i="34"/>
  <c r="AQ90" i="34"/>
  <c r="G106" i="63"/>
  <c r="H106" i="63"/>
  <c r="S113" i="63"/>
  <c r="E88" i="25"/>
  <c r="E89" i="25"/>
  <c r="AE35" i="38"/>
  <c r="AL36" i="38" s="1"/>
  <c r="AL40" i="38" s="1"/>
  <c r="V17" i="38"/>
  <c r="AQ20" i="34"/>
  <c r="Y43" i="39"/>
  <c r="AG26" i="39"/>
  <c r="V36" i="38"/>
  <c r="Y11" i="38" s="1"/>
  <c r="P113" i="63"/>
  <c r="AB67" i="25"/>
  <c r="V38" i="38"/>
  <c r="AA38" i="38" s="1"/>
  <c r="J51" i="25"/>
  <c r="AQ50" i="34"/>
  <c r="AQ40" i="34"/>
  <c r="AG43" i="39"/>
  <c r="H124" i="63"/>
  <c r="Q113" i="63"/>
  <c r="AE89" i="25"/>
  <c r="AG89" i="25" s="1"/>
  <c r="AQ25" i="34"/>
  <c r="AE85" i="25"/>
  <c r="AG85" i="25" s="1"/>
  <c r="L94" i="25"/>
  <c r="AG39" i="39"/>
  <c r="V37" i="38"/>
  <c r="J52" i="25"/>
  <c r="AC15" i="38"/>
  <c r="M51" i="25"/>
  <c r="AB76" i="25"/>
  <c r="AQ21" i="34"/>
  <c r="AG19" i="39"/>
  <c r="AG42" i="39"/>
  <c r="L107" i="63"/>
  <c r="AE78" i="25"/>
  <c r="AG78" i="25" s="1"/>
  <c r="V18" i="38"/>
  <c r="V39" i="38"/>
  <c r="U39" i="38" s="1"/>
  <c r="M127" i="63"/>
  <c r="X15" i="38"/>
  <c r="V16" i="38"/>
  <c r="Y6" i="38" s="1"/>
  <c r="V19" i="38"/>
  <c r="T19" i="38" s="1"/>
  <c r="J118" i="63"/>
  <c r="G51" i="25"/>
  <c r="J122" i="63"/>
  <c r="S128" i="63"/>
  <c r="AB85" i="25"/>
  <c r="R131" i="63"/>
  <c r="AB86" i="25"/>
  <c r="AB94" i="25"/>
  <c r="J121" i="63"/>
  <c r="I131" i="63"/>
  <c r="I118" i="63"/>
  <c r="I105" i="63"/>
  <c r="Q129" i="63"/>
  <c r="E87" i="25"/>
  <c r="G50" i="25"/>
  <c r="T49" i="38"/>
  <c r="AB73" i="25"/>
  <c r="H131" i="63"/>
  <c r="H118" i="63"/>
  <c r="I129" i="63"/>
  <c r="L121" i="63"/>
  <c r="M131" i="63"/>
  <c r="L130" i="63"/>
  <c r="L129" i="63"/>
  <c r="P104" i="63"/>
  <c r="G53" i="25"/>
  <c r="AQ47" i="34"/>
  <c r="G129" i="63"/>
  <c r="J129" i="63"/>
  <c r="M121" i="63"/>
  <c r="L104" i="63"/>
  <c r="M129" i="63"/>
  <c r="O104" i="63"/>
  <c r="AQ101" i="34"/>
  <c r="AE94" i="25"/>
  <c r="AG94" i="25" s="1"/>
  <c r="G104" i="63"/>
  <c r="H127" i="63"/>
  <c r="H129" i="63"/>
  <c r="J128" i="63"/>
  <c r="M104" i="63"/>
  <c r="N130" i="63"/>
  <c r="N129" i="63"/>
  <c r="P118" i="63"/>
  <c r="J131" i="63"/>
  <c r="L131" i="63"/>
  <c r="AE83" i="25"/>
  <c r="AG83" i="25" s="1"/>
  <c r="AQ39" i="34"/>
  <c r="AK79" i="39"/>
  <c r="AG67" i="39" s="1"/>
  <c r="G118" i="63"/>
  <c r="H130" i="63"/>
  <c r="H128" i="63"/>
  <c r="P131" i="63"/>
  <c r="Q118" i="63"/>
  <c r="AB88" i="25"/>
  <c r="V26" i="38"/>
  <c r="I122" i="63"/>
  <c r="N104" i="63"/>
  <c r="R118" i="63"/>
  <c r="S104" i="63"/>
  <c r="AQ100" i="34"/>
  <c r="AC45" i="38"/>
  <c r="AG22" i="39"/>
  <c r="AG55" i="39"/>
  <c r="V29" i="38"/>
  <c r="T29" i="38" s="1"/>
  <c r="AG32" i="39"/>
  <c r="AB33" i="39"/>
  <c r="G124" i="63"/>
  <c r="H103" i="63"/>
  <c r="I113" i="63"/>
  <c r="J123" i="63"/>
  <c r="H110" i="63"/>
  <c r="N107" i="63"/>
  <c r="N110" i="63"/>
  <c r="R113" i="63"/>
  <c r="S103" i="63"/>
  <c r="AQ89" i="34"/>
  <c r="AQ98" i="34"/>
  <c r="P53" i="25"/>
  <c r="AC88" i="25"/>
  <c r="E94" i="25"/>
  <c r="AE82" i="25"/>
  <c r="AG82" i="25" s="1"/>
  <c r="J57" i="25"/>
  <c r="AH41" i="39"/>
  <c r="AC25" i="38"/>
  <c r="V43" i="38"/>
  <c r="AA43" i="38" s="1"/>
  <c r="AG40" i="39"/>
  <c r="AG48" i="39"/>
  <c r="G122" i="63"/>
  <c r="I117" i="63"/>
  <c r="H122" i="63"/>
  <c r="J113" i="63"/>
  <c r="H123" i="63"/>
  <c r="J105" i="63"/>
  <c r="M103" i="63"/>
  <c r="K117" i="63"/>
  <c r="K122" i="63"/>
  <c r="K113" i="63"/>
  <c r="K118" i="63"/>
  <c r="K119" i="63"/>
  <c r="L128" i="63"/>
  <c r="K111" i="63"/>
  <c r="O103" i="63"/>
  <c r="O117" i="63"/>
  <c r="O122" i="63"/>
  <c r="O107" i="63"/>
  <c r="O105" i="63"/>
  <c r="P110" i="63"/>
  <c r="O124" i="63"/>
  <c r="O128" i="63"/>
  <c r="O111" i="63"/>
  <c r="S107" i="63"/>
  <c r="S118" i="63"/>
  <c r="S120" i="63"/>
  <c r="AC83" i="25"/>
  <c r="E90" i="25"/>
  <c r="E93" i="25"/>
  <c r="P58" i="25"/>
  <c r="E86" i="25"/>
  <c r="AH40" i="39"/>
  <c r="AG54" i="39"/>
  <c r="AG18" i="39"/>
  <c r="AG33" i="39"/>
  <c r="G103" i="63"/>
  <c r="G107" i="63"/>
  <c r="J117" i="63"/>
  <c r="H113" i="63"/>
  <c r="H105" i="63"/>
  <c r="K103" i="63"/>
  <c r="L117" i="63"/>
  <c r="L122" i="63"/>
  <c r="L113" i="63"/>
  <c r="L118" i="63"/>
  <c r="K124" i="63"/>
  <c r="K128" i="63"/>
  <c r="L111" i="63"/>
  <c r="P103" i="63"/>
  <c r="P117" i="63"/>
  <c r="P122" i="63"/>
  <c r="P127" i="63"/>
  <c r="P123" i="63"/>
  <c r="P107" i="63"/>
  <c r="P105" i="63"/>
  <c r="Q110" i="63"/>
  <c r="P128" i="63"/>
  <c r="P111" i="63"/>
  <c r="S110" i="63"/>
  <c r="S111" i="63"/>
  <c r="AQ91" i="34"/>
  <c r="J103" i="63"/>
  <c r="J110" i="63"/>
  <c r="M110" i="63"/>
  <c r="E85" i="25"/>
  <c r="AH39" i="39"/>
  <c r="AH60" i="39"/>
  <c r="AG46" i="39"/>
  <c r="V42" i="38"/>
  <c r="V27" i="38"/>
  <c r="G128" i="63"/>
  <c r="I107" i="63"/>
  <c r="H117" i="63"/>
  <c r="I119" i="63"/>
  <c r="I111" i="63"/>
  <c r="L103" i="63"/>
  <c r="M117" i="63"/>
  <c r="M122" i="63"/>
  <c r="M113" i="63"/>
  <c r="M118" i="63"/>
  <c r="M124" i="63"/>
  <c r="M128" i="63"/>
  <c r="M111" i="63"/>
  <c r="Q121" i="63"/>
  <c r="Q103" i="63"/>
  <c r="Q117" i="63"/>
  <c r="R122" i="63"/>
  <c r="Q127" i="63"/>
  <c r="Q130" i="63"/>
  <c r="Q107" i="63"/>
  <c r="O110" i="63"/>
  <c r="R128" i="63"/>
  <c r="Q111" i="63"/>
  <c r="S117" i="63"/>
  <c r="S129" i="63"/>
  <c r="G117" i="63"/>
  <c r="AB71" i="25"/>
  <c r="T53" i="38"/>
  <c r="E91" i="25"/>
  <c r="P56" i="25"/>
  <c r="AE97" i="25"/>
  <c r="AG97" i="25" s="1"/>
  <c r="AH42" i="39"/>
  <c r="AH57" i="39"/>
  <c r="AG51" i="39"/>
  <c r="V41" i="38"/>
  <c r="AC66" i="39"/>
  <c r="AJ73" i="39"/>
  <c r="AH77" i="39" s="1"/>
  <c r="G113" i="63"/>
  <c r="G105" i="63"/>
  <c r="J107" i="63"/>
  <c r="J111" i="63"/>
  <c r="N103" i="63"/>
  <c r="N117" i="63"/>
  <c r="N122" i="63"/>
  <c r="N113" i="63"/>
  <c r="N118" i="63"/>
  <c r="N123" i="63"/>
  <c r="N119" i="63"/>
  <c r="N128" i="63"/>
  <c r="N111" i="63"/>
  <c r="Q122" i="63"/>
  <c r="R127" i="63"/>
  <c r="R123" i="63"/>
  <c r="R107" i="63"/>
  <c r="R105" i="63"/>
  <c r="R110" i="63"/>
  <c r="Q128" i="63"/>
  <c r="R111" i="63"/>
  <c r="AQ79" i="34"/>
  <c r="AQ88" i="34"/>
  <c r="AG66" i="39"/>
  <c r="P52" i="25"/>
  <c r="AB80" i="25"/>
  <c r="AH58" i="39"/>
  <c r="AG41" i="39"/>
  <c r="AG30" i="39"/>
  <c r="V28" i="38"/>
  <c r="T28" i="38" s="1"/>
  <c r="AE66" i="39"/>
  <c r="G111" i="63"/>
  <c r="H107" i="63"/>
  <c r="I127" i="63"/>
  <c r="K131" i="63"/>
  <c r="AC30" i="38" l="1"/>
  <c r="V34" i="38"/>
  <c r="U34" i="38" s="1"/>
  <c r="J116" i="63"/>
  <c r="I116" i="63"/>
  <c r="O130" i="63"/>
  <c r="G115" i="63"/>
  <c r="G92" i="63" s="1"/>
  <c r="G109" i="63"/>
  <c r="R115" i="63"/>
  <c r="J102" i="63"/>
  <c r="AC78" i="25"/>
  <c r="AC97" i="25"/>
  <c r="AG28" i="39"/>
  <c r="H119" i="63"/>
  <c r="AE84" i="25"/>
  <c r="AG84" i="25" s="1"/>
  <c r="S124" i="63"/>
  <c r="N124" i="63"/>
  <c r="G120" i="63"/>
  <c r="R124" i="63"/>
  <c r="Q104" i="63"/>
  <c r="AG52" i="39"/>
  <c r="AQ31" i="34"/>
  <c r="S131" i="63"/>
  <c r="AG57" i="39"/>
  <c r="AB90" i="25"/>
  <c r="S119" i="63"/>
  <c r="K123" i="63"/>
  <c r="J120" i="63"/>
  <c r="G123" i="63"/>
  <c r="AG56" i="39"/>
  <c r="N120" i="63"/>
  <c r="AG53" i="39"/>
  <c r="J104" i="63"/>
  <c r="AB83" i="25"/>
  <c r="I104" i="63"/>
  <c r="AQ49" i="34"/>
  <c r="J130" i="63"/>
  <c r="S105" i="63"/>
  <c r="N131" i="63"/>
  <c r="N127" i="63"/>
  <c r="G131" i="63"/>
  <c r="AB97" i="25"/>
  <c r="J58" i="25"/>
  <c r="V31" i="38"/>
  <c r="I123" i="63"/>
  <c r="Y33" i="39"/>
  <c r="AG44" i="39"/>
  <c r="AQ85" i="34"/>
  <c r="V44" i="38"/>
  <c r="AA44" i="38" s="1"/>
  <c r="M114" i="63"/>
  <c r="AE69" i="25"/>
  <c r="AG69" i="25" s="1"/>
  <c r="H116" i="63"/>
  <c r="L116" i="63"/>
  <c r="N126" i="63"/>
  <c r="S28" i="29"/>
  <c r="K130" i="63"/>
  <c r="S121" i="63"/>
  <c r="M125" i="63"/>
  <c r="K114" i="63"/>
  <c r="H114" i="63"/>
  <c r="AB91" i="25"/>
  <c r="T54" i="38"/>
  <c r="O115" i="63"/>
  <c r="S109" i="63"/>
  <c r="Q109" i="63"/>
  <c r="AQ22" i="34"/>
  <c r="AE67" i="25"/>
  <c r="AG67" i="25" s="1"/>
  <c r="J50" i="25"/>
  <c r="AQ45" i="34"/>
  <c r="Q102" i="63"/>
  <c r="P125" i="63"/>
  <c r="S102" i="63"/>
  <c r="S92" i="63" s="1"/>
  <c r="AE95" i="25"/>
  <c r="AG95" i="25" s="1"/>
  <c r="S130" i="63"/>
  <c r="G130" i="63"/>
  <c r="P130" i="63"/>
  <c r="P116" i="63"/>
  <c r="N115" i="63"/>
  <c r="J115" i="63"/>
  <c r="O109" i="63"/>
  <c r="M100" i="63"/>
  <c r="G100" i="63"/>
  <c r="AJ28" i="39"/>
  <c r="AH33" i="39" s="1"/>
  <c r="AV26" i="39" s="1"/>
  <c r="AB87" i="25"/>
  <c r="AQ102" i="34"/>
  <c r="I124" i="63"/>
  <c r="AQ36" i="34"/>
  <c r="G127" i="63"/>
  <c r="AG14" i="39"/>
  <c r="P124" i="63"/>
  <c r="L119" i="63"/>
  <c r="O123" i="63"/>
  <c r="AG58" i="39"/>
  <c r="AC40" i="38"/>
  <c r="R120" i="63"/>
  <c r="R92" i="63" s="1"/>
  <c r="I120" i="63"/>
  <c r="AG15" i="39"/>
  <c r="Y11" i="39" s="1"/>
  <c r="AD14" i="39" s="1"/>
  <c r="AD16" i="39" s="1"/>
  <c r="AG49" i="39"/>
  <c r="K104" i="63"/>
  <c r="AQ80" i="34"/>
  <c r="N121" i="63"/>
  <c r="AB95" i="25"/>
  <c r="N105" i="63"/>
  <c r="I130" i="63"/>
  <c r="P121" i="63"/>
  <c r="AC50" i="38"/>
  <c r="AG27" i="39"/>
  <c r="AG16" i="39"/>
  <c r="Q120" i="63"/>
  <c r="AG20" i="39"/>
  <c r="J56" i="25"/>
  <c r="P119" i="63"/>
  <c r="T46" i="38"/>
  <c r="L126" i="63"/>
  <c r="N116" i="63"/>
  <c r="M116" i="63"/>
  <c r="K116" i="63"/>
  <c r="AG38" i="39"/>
  <c r="S34" i="29"/>
  <c r="S40" i="29"/>
  <c r="AJ19" i="39"/>
  <c r="AH23" i="39" s="1"/>
  <c r="AJ23" i="39" s="1"/>
  <c r="S28" i="39" s="1"/>
  <c r="G114" i="63"/>
  <c r="P114" i="63"/>
  <c r="M109" i="63"/>
  <c r="K125" i="63"/>
  <c r="H125" i="63"/>
  <c r="L115" i="63"/>
  <c r="H115" i="63"/>
  <c r="M102" i="63"/>
  <c r="I115" i="63"/>
  <c r="N102" i="63"/>
  <c r="N92" i="63" s="1"/>
  <c r="N109" i="63"/>
  <c r="Q115" i="63"/>
  <c r="O100" i="63"/>
  <c r="AQ81" i="34"/>
  <c r="N100" i="63"/>
  <c r="K100" i="63"/>
  <c r="K92" i="63" s="1"/>
  <c r="M120" i="63"/>
  <c r="Q105" i="63"/>
  <c r="P57" i="25"/>
  <c r="V33" i="38"/>
  <c r="Q116" i="63"/>
  <c r="AE71" i="25"/>
  <c r="AG71" i="25" s="1"/>
  <c r="O102" i="63"/>
  <c r="O92" i="63" s="1"/>
  <c r="P115" i="63"/>
  <c r="P92" i="63" s="1"/>
  <c r="AG50" i="39"/>
  <c r="Q124" i="63"/>
  <c r="AJ10" i="39"/>
  <c r="AH14" i="39" s="1"/>
  <c r="AG21" i="39"/>
  <c r="M119" i="63"/>
  <c r="L120" i="63"/>
  <c r="G119" i="63"/>
  <c r="J119" i="63"/>
  <c r="AG31" i="39"/>
  <c r="Q123" i="63"/>
  <c r="M123" i="63"/>
  <c r="AJ64" i="39"/>
  <c r="AH69" i="39" s="1"/>
  <c r="AK69" i="39" s="1"/>
  <c r="L123" i="63"/>
  <c r="H120" i="63"/>
  <c r="AF66" i="39"/>
  <c r="O127" i="63"/>
  <c r="L124" i="63"/>
  <c r="AG45" i="39"/>
  <c r="X25" i="38"/>
  <c r="R119" i="63"/>
  <c r="X35" i="38"/>
  <c r="Q131" i="63"/>
  <c r="G59" i="25"/>
  <c r="S127" i="63"/>
  <c r="M130" i="63"/>
  <c r="J127" i="63"/>
  <c r="M105" i="63"/>
  <c r="G58" i="25"/>
  <c r="L127" i="63"/>
  <c r="L105" i="63"/>
  <c r="L92" i="63" s="1"/>
  <c r="Q119" i="63"/>
  <c r="AG13" i="39"/>
  <c r="V32" i="38"/>
  <c r="Y9" i="38" s="1"/>
  <c r="O114" i="63"/>
  <c r="M126" i="63"/>
  <c r="K126" i="63"/>
  <c r="H126" i="63"/>
  <c r="J126" i="63"/>
  <c r="P126" i="63"/>
  <c r="O121" i="63"/>
  <c r="K121" i="63"/>
  <c r="N114" i="63"/>
  <c r="H109" i="63"/>
  <c r="J109" i="63"/>
  <c r="Q125" i="63"/>
  <c r="T47" i="38"/>
  <c r="I109" i="63"/>
  <c r="AB92" i="25"/>
  <c r="AQ35" i="34"/>
  <c r="P102" i="63"/>
  <c r="Q100" i="63"/>
  <c r="H100" i="63"/>
  <c r="H92" i="63" s="1"/>
  <c r="I100" i="63"/>
  <c r="P50" i="25"/>
  <c r="AQ44" i="34"/>
  <c r="Z66" i="39"/>
  <c r="AC87" i="25"/>
  <c r="AQ15" i="34"/>
  <c r="AG47" i="39"/>
  <c r="I102" i="63"/>
  <c r="I92" i="63" s="1"/>
  <c r="L100" i="63"/>
  <c r="AQ75" i="34"/>
  <c r="K102" i="63"/>
  <c r="AG23" i="39"/>
  <c r="AG29" i="39"/>
  <c r="AB66" i="39"/>
  <c r="L109" i="63"/>
  <c r="K109" i="63"/>
  <c r="S100" i="63"/>
  <c r="J100" i="63"/>
  <c r="L102" i="63"/>
  <c r="Y7" i="38"/>
  <c r="Z5" i="38"/>
  <c r="Y5" i="38"/>
  <c r="AH9" i="38"/>
  <c r="AL65" i="38" s="1"/>
  <c r="Z11" i="38"/>
  <c r="Z12" i="38"/>
  <c r="Y12" i="38"/>
  <c r="D13" i="25"/>
  <c r="J43" i="25" s="1"/>
  <c r="Z10" i="38"/>
  <c r="U18" i="38"/>
  <c r="Z9" i="38"/>
  <c r="Z6" i="38"/>
  <c r="Y10" i="38"/>
  <c r="T27" i="38"/>
  <c r="T37" i="38"/>
  <c r="U33" i="38"/>
  <c r="AA41" i="38"/>
  <c r="AK78" i="34"/>
  <c r="AA21" i="38"/>
  <c r="U31" i="38"/>
  <c r="AA26" i="38"/>
  <c r="T16" i="38"/>
  <c r="Y45" i="38"/>
  <c r="Z45" i="38"/>
  <c r="AE72" i="39"/>
  <c r="AC72" i="39"/>
  <c r="AE73" i="39"/>
  <c r="AJ85" i="39"/>
  <c r="AK85"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AA37" i="38"/>
  <c r="U37" i="38"/>
  <c r="AJ84" i="39"/>
  <c r="AK84" i="39" s="1"/>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V35" i="39"/>
  <c r="AS35" i="39"/>
  <c r="T26" i="38"/>
  <c r="AH66" i="39"/>
  <c r="U26" i="38"/>
  <c r="T72" i="46"/>
  <c r="H119" i="46" s="1"/>
  <c r="AJ90" i="39"/>
  <c r="AK90" i="39" s="1"/>
  <c r="AH78" i="39"/>
  <c r="T74" i="46"/>
  <c r="T73" i="46"/>
  <c r="U42" i="38"/>
  <c r="T41" i="38"/>
  <c r="AA42" i="38"/>
  <c r="AJ83" i="39"/>
  <c r="AK83" i="39" s="1"/>
  <c r="AP83" i="39" s="1"/>
  <c r="AJ40" i="39"/>
  <c r="Q38" i="39" s="1"/>
  <c r="AK58" i="39"/>
  <c r="U41" i="38"/>
  <c r="AH12" i="39"/>
  <c r="AH15" i="39"/>
  <c r="Q92" i="63"/>
  <c r="T42" i="38"/>
  <c r="M92" i="63"/>
  <c r="AT53" i="39"/>
  <c r="AH13" i="39"/>
  <c r="AJ58" i="39"/>
  <c r="Q49" i="39" s="1"/>
  <c r="U28" i="38"/>
  <c r="AK40" i="39"/>
  <c r="AT35" i="39"/>
  <c r="T43" i="38"/>
  <c r="AH75" i="39"/>
  <c r="AJ75" i="39" s="1"/>
  <c r="AH76" i="39"/>
  <c r="AA28" i="38"/>
  <c r="U43" i="38"/>
  <c r="AJ77" i="39"/>
  <c r="AJ33" i="39"/>
  <c r="AJ14" i="39"/>
  <c r="I30" i="39" s="1"/>
  <c r="AK87" i="39"/>
  <c r="AK14" i="39"/>
  <c r="AU8" i="39"/>
  <c r="AK33" i="39"/>
  <c r="AK77" i="39"/>
  <c r="AU71" i="39"/>
  <c r="AV62" i="39" l="1"/>
  <c r="AH21" i="39"/>
  <c r="AK21" i="39" s="1"/>
  <c r="J92" i="63"/>
  <c r="AK23" i="39"/>
  <c r="AH68" i="39"/>
  <c r="AU62" i="39" s="1"/>
  <c r="AH32" i="39"/>
  <c r="AK32" i="39" s="1"/>
  <c r="AU17" i="39"/>
  <c r="Z7" i="38"/>
  <c r="AJ89" i="39"/>
  <c r="AK89" i="39" s="1"/>
  <c r="AH67" i="39"/>
  <c r="AK67" i="39" s="1"/>
  <c r="AH22" i="39"/>
  <c r="AE23" i="38" s="1"/>
  <c r="T44" i="38"/>
  <c r="AH30" i="39"/>
  <c r="AJ69" i="39"/>
  <c r="G60" i="39" s="1"/>
  <c r="Z8" i="38"/>
  <c r="AH24" i="39"/>
  <c r="AJ24" i="39" s="1"/>
  <c r="S27" i="39" s="1"/>
  <c r="U44" i="38"/>
  <c r="Z35" i="38" s="1"/>
  <c r="AH31" i="39"/>
  <c r="AB73" i="39" s="1"/>
  <c r="AE81" i="34"/>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5" i="39"/>
  <c r="AB79" i="39" s="1"/>
  <c r="AB29" i="38" s="1"/>
  <c r="Z75" i="39"/>
  <c r="Z79" i="39" s="1"/>
  <c r="AB19" i="38" s="1"/>
  <c r="AB72" i="39"/>
  <c r="Z72" i="39"/>
  <c r="AL74" i="34"/>
  <c r="AK74" i="34"/>
  <c r="AM74" i="34" s="1"/>
  <c r="AS26" i="39"/>
  <c r="AK30" i="39"/>
  <c r="AJ30" i="39"/>
  <c r="G37"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A75" i="39"/>
  <c r="AA79" i="39" s="1"/>
  <c r="AB24" i="38" s="1"/>
  <c r="AJ48" i="39"/>
  <c r="AD75" i="39"/>
  <c r="AD79" i="39" s="1"/>
  <c r="AB39" i="38" s="1"/>
  <c r="AJ49" i="39"/>
  <c r="G49" i="39" s="1"/>
  <c r="AD73" i="39"/>
  <c r="AG16" i="38"/>
  <c r="Z74" i="39"/>
  <c r="AG74" i="39"/>
  <c r="AG78" i="39" s="1"/>
  <c r="AB53" i="38" s="1"/>
  <c r="K51" i="38" s="1"/>
  <c r="AV44" i="39"/>
  <c r="AD72"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S17" i="39"/>
  <c r="AO35" i="39"/>
  <c r="AK78" i="39"/>
  <c r="AN35" i="39"/>
  <c r="AL53" i="39"/>
  <c r="AF17" i="38"/>
  <c r="AS62" i="39"/>
  <c r="AK66" i="39"/>
  <c r="AJ66" i="39"/>
  <c r="I60" i="39" s="1"/>
  <c r="AG46" i="38"/>
  <c r="AT8" i="39"/>
  <c r="AH21" i="38"/>
  <c r="AG22" i="38"/>
  <c r="AK13" i="39"/>
  <c r="AF18" i="38"/>
  <c r="Y15" i="38"/>
  <c r="Y35" i="38"/>
  <c r="AJ12" i="39"/>
  <c r="I29" i="39" s="1"/>
  <c r="AG18" i="38"/>
  <c r="AH16" i="38"/>
  <c r="AK12" i="39"/>
  <c r="AH42" i="38"/>
  <c r="AF16" i="38"/>
  <c r="AH18" i="38"/>
  <c r="AG44" i="38"/>
  <c r="AK79" i="34"/>
  <c r="AK75" i="34"/>
  <c r="AT62" i="39"/>
  <c r="AG48" i="38"/>
  <c r="Y25" i="38"/>
  <c r="J119" i="46"/>
  <c r="AJ68" i="39"/>
  <c r="AG49" i="38"/>
  <c r="T69" i="46"/>
  <c r="AF34" i="38"/>
  <c r="AE34" i="38"/>
  <c r="AH19" i="38"/>
  <c r="AM35" i="39"/>
  <c r="AJ76" i="39"/>
  <c r="AG19" i="38"/>
  <c r="AK15" i="39"/>
  <c r="Q39" i="39"/>
  <c r="AG21" i="38"/>
  <c r="AH33" i="38"/>
  <c r="AF21" i="38"/>
  <c r="AG33" i="38"/>
  <c r="AF32" i="38"/>
  <c r="AT71" i="39"/>
  <c r="AJ15" i="39"/>
  <c r="AF44" i="38"/>
  <c r="AK76" i="39"/>
  <c r="AM53" i="39"/>
  <c r="AG42" i="38"/>
  <c r="AF23" i="38"/>
  <c r="AF36" i="38"/>
  <c r="AG17" i="38"/>
  <c r="AG47" i="38"/>
  <c r="AF51" i="38"/>
  <c r="AH17" i="38"/>
  <c r="AF19" i="38"/>
  <c r="AJ13" i="39"/>
  <c r="AS71" i="39"/>
  <c r="AL79" i="34"/>
  <c r="AG52" i="38"/>
  <c r="AK75" i="39"/>
  <c r="AL71" i="39"/>
  <c r="AN71" i="39"/>
  <c r="AO62" i="39"/>
  <c r="G39" i="39"/>
  <c r="AO26" i="39"/>
  <c r="S30" i="39"/>
  <c r="Q26" i="39"/>
  <c r="AN17" i="39"/>
  <c r="AN8" i="39"/>
  <c r="AL84" i="39"/>
  <c r="AP84" i="39"/>
  <c r="AL85" i="39"/>
  <c r="AP85" i="39"/>
  <c r="AL87" i="39"/>
  <c r="AP87" i="39"/>
  <c r="AL89" i="39"/>
  <c r="AP89" i="39"/>
  <c r="AL90" i="39"/>
  <c r="AP90" i="39"/>
  <c r="AL83" i="39"/>
  <c r="AF29" i="38" l="1"/>
  <c r="AH31" i="38"/>
  <c r="AH47" i="38"/>
  <c r="AH46" i="38"/>
  <c r="AH51" i="38"/>
  <c r="AG29" i="38"/>
  <c r="AH29" i="38"/>
  <c r="AF49" i="38"/>
  <c r="AG24" i="38"/>
  <c r="AG53" i="38"/>
  <c r="AG31" i="38"/>
  <c r="AH39" i="38"/>
  <c r="AH52" i="38"/>
  <c r="AH44" i="38"/>
  <c r="AH27" i="38"/>
  <c r="AF38" i="38"/>
  <c r="AE43" i="38"/>
  <c r="AE29" i="38"/>
  <c r="AG37" i="38"/>
  <c r="AK68" i="39"/>
  <c r="AJ67" i="39"/>
  <c r="I57" i="39" s="1"/>
  <c r="AF42" i="38"/>
  <c r="AF27" i="38"/>
  <c r="AE44" i="38"/>
  <c r="AG41" i="38"/>
  <c r="AK22" i="39"/>
  <c r="AK24" i="39"/>
  <c r="AA74" i="39"/>
  <c r="AA78" i="39" s="1"/>
  <c r="AB23" i="38" s="1"/>
  <c r="K21" i="38" s="1"/>
  <c r="AK31" i="39"/>
  <c r="AJ32" i="39"/>
  <c r="I37" i="39" s="1"/>
  <c r="AF37" i="38"/>
  <c r="AH54" i="38"/>
  <c r="AH41" i="38"/>
  <c r="AG36" i="38"/>
  <c r="AF53" i="38"/>
  <c r="AF39" i="38"/>
  <c r="AF22" i="38"/>
  <c r="AF54" i="38"/>
  <c r="AU26" i="39"/>
  <c r="AE53" i="38"/>
  <c r="AG51" i="38"/>
  <c r="AF26" i="38"/>
  <c r="AG23" i="38"/>
  <c r="AH24" i="38"/>
  <c r="AG43" i="38"/>
  <c r="AF43" i="38"/>
  <c r="AF28" i="38"/>
  <c r="AH23" i="38"/>
  <c r="AH28" i="38"/>
  <c r="AG28" i="38"/>
  <c r="AG27" i="38"/>
  <c r="AG39" i="38"/>
  <c r="AF46" i="38"/>
  <c r="AH22" i="38"/>
  <c r="AT17" i="39"/>
  <c r="AV17" i="39"/>
  <c r="AT26" i="39"/>
  <c r="AG38" i="38"/>
  <c r="AF41" i="38"/>
  <c r="AF48" i="38"/>
  <c r="AH34" i="38"/>
  <c r="AH43" i="38"/>
  <c r="AE49" i="38"/>
  <c r="AG32" i="38"/>
  <c r="AH38" i="38"/>
  <c r="AF24" i="38"/>
  <c r="AF31" i="38"/>
  <c r="AH36" i="38"/>
  <c r="AJ22" i="39"/>
  <c r="Q30" i="39" s="1"/>
  <c r="AJ31" i="39"/>
  <c r="I38" i="39" s="1"/>
  <c r="AH53" i="38"/>
  <c r="AE51" i="38"/>
  <c r="AF52" i="38"/>
  <c r="AH48" i="38"/>
  <c r="AF47" i="38"/>
  <c r="AF33" i="38"/>
  <c r="AH26" i="38"/>
  <c r="AH32" i="38"/>
  <c r="AG26" i="38"/>
  <c r="AG54" i="38"/>
  <c r="AH49" i="38"/>
  <c r="AG34" i="38"/>
  <c r="AE42" i="38"/>
  <c r="AH37" i="38"/>
  <c r="D51" i="38"/>
  <c r="D53" i="38"/>
  <c r="AE32" i="38"/>
  <c r="D23" i="38"/>
  <c r="AE31" i="38"/>
  <c r="AE33" i="38"/>
  <c r="D33" i="38"/>
  <c r="D31" i="38"/>
  <c r="D43" i="38"/>
  <c r="K23" i="38"/>
  <c r="AE41" i="38"/>
  <c r="AG81" i="34"/>
  <c r="AC80" i="34"/>
  <c r="AI80" i="34"/>
  <c r="AI81"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G59" i="39"/>
  <c r="G56" i="39"/>
  <c r="G58" i="39"/>
  <c r="I56" i="39"/>
  <c r="G55" i="39"/>
  <c r="AC31" i="38"/>
  <c r="K27" i="38" s="1"/>
  <c r="AC32" i="38"/>
  <c r="K29" i="38" s="1"/>
  <c r="AC17" i="38"/>
  <c r="I40" i="39"/>
  <c r="G36" i="39"/>
  <c r="G35" i="39"/>
  <c r="AA77" i="39"/>
  <c r="AB22" i="38" s="1"/>
  <c r="AB77" i="39"/>
  <c r="AB27" i="38" s="1"/>
  <c r="AB76" i="39"/>
  <c r="AB26" i="38" s="1"/>
  <c r="Z76" i="39"/>
  <c r="AB16" i="38" s="1"/>
  <c r="T71" i="46"/>
  <c r="O53" i="46"/>
  <c r="AN26" i="39"/>
  <c r="AE26" i="38"/>
  <c r="AL26" i="39"/>
  <c r="I39" i="39"/>
  <c r="G40" i="39"/>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E22" i="38"/>
  <c r="AE46" i="38"/>
  <c r="AL62" i="39"/>
  <c r="AM62" i="39"/>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AE47" i="38" l="1"/>
  <c r="AM17" i="39"/>
  <c r="AM26" i="39"/>
  <c r="AE80" i="34"/>
  <c r="I35" i="39"/>
  <c r="AE27" i="38"/>
  <c r="AE28" i="38"/>
  <c r="D49" i="38"/>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<sst xmlns="http://schemas.openxmlformats.org/spreadsheetml/2006/main" count="3748" uniqueCount="2502">
  <si>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Uitkomst Keuzelijst</t>
  </si>
  <si>
    <t>Gekozen taal (rij)</t>
  </si>
  <si>
    <t>Kenmerk</t>
  </si>
  <si>
    <t>Keuze</t>
  </si>
  <si>
    <t>Nederlands</t>
  </si>
  <si>
    <t>Engels</t>
  </si>
  <si>
    <t>Duits</t>
  </si>
  <si>
    <t>Zweeds</t>
  </si>
  <si>
    <t>Voorblad / Algemeen</t>
  </si>
  <si>
    <t>EURO 2024</t>
  </si>
  <si>
    <t>Duitsland</t>
  </si>
  <si>
    <t>Germany</t>
  </si>
  <si>
    <t>Deutschland</t>
  </si>
  <si>
    <t>Tyskland</t>
  </si>
  <si>
    <t>UEFA Europees kampioenschap: Duitsland</t>
  </si>
  <si>
    <t>UEFA European Championship 2024: Germany</t>
  </si>
  <si>
    <t>UEFA Europameisterschaft 2024: Deutschland</t>
  </si>
  <si>
    <t>UEFA Europamästerskape 2024t: Tyskland</t>
  </si>
  <si>
    <t>Nog één dag tot de start van EURO 2024</t>
  </si>
  <si>
    <t>One more day until the start of the EURO 2024</t>
  </si>
  <si>
    <t>Noch einen tag bis Anfang des EURO 2024</t>
  </si>
  <si>
    <t>Endast en dag kvar till start EURO 2024</t>
  </si>
  <si>
    <t>Nog ### dagen tot de start van EURO 2024</t>
  </si>
  <si>
    <t>### days left until the start of the EURO 2024</t>
  </si>
  <si>
    <t>Noch ### tage zum Anfang das EURO 2024</t>
  </si>
  <si>
    <t>Endast ### dagar kvar till start EURO 2024</t>
  </si>
  <si>
    <t>Het Beheerders Bestand</t>
  </si>
  <si>
    <t>The Manager File</t>
  </si>
  <si>
    <t>Der Administrator Datei</t>
  </si>
  <si>
    <t>Förvaltningsfil</t>
  </si>
  <si>
    <t>Demo</t>
  </si>
  <si>
    <t>Beta Versie</t>
  </si>
  <si>
    <t>Beta Version</t>
  </si>
  <si>
    <t>Betaversion</t>
  </si>
  <si>
    <t>Beta version</t>
  </si>
  <si>
    <t>Demo Versie</t>
  </si>
  <si>
    <t>Demo Version</t>
  </si>
  <si>
    <t>Demoversion</t>
  </si>
  <si>
    <t>Demo version</t>
  </si>
  <si>
    <t>Preview Versie</t>
  </si>
  <si>
    <t>Preview Version</t>
  </si>
  <si>
    <t>Vorschauversion</t>
  </si>
  <si>
    <t>Preview version</t>
  </si>
  <si>
    <t>Extra Beheerdersmodule voor de Organisatoren</t>
  </si>
  <si>
    <t>Additional Administrator Module for the Organizers</t>
  </si>
  <si>
    <t>Zusätzliches Administratormodul für die Organisatoren</t>
  </si>
  <si>
    <t>Extra förvaltningsmodul för arrangörerna</t>
  </si>
  <si>
    <t>Het Deelname Formulier</t>
  </si>
  <si>
    <t>The Participation Form</t>
  </si>
  <si>
    <t>Das Teilnahmeformular</t>
  </si>
  <si>
    <t>Deltagarformulär</t>
  </si>
  <si>
    <t>Het Excel Deelname Formulier</t>
  </si>
  <si>
    <t>The Excel Participation Form</t>
  </si>
  <si>
    <t>Das Excel-Teilnahmeformular</t>
  </si>
  <si>
    <t>Deltagarformulär i Excel</t>
  </si>
  <si>
    <t>Externe Ranglijst</t>
  </si>
  <si>
    <t>External Ranking</t>
  </si>
  <si>
    <t>Externes Ranking</t>
  </si>
  <si>
    <t>Extern ranking</t>
  </si>
  <si>
    <t>Uitbreidingsmodule voor het Beheerders Bestand</t>
  </si>
  <si>
    <t>Extension Module for the Manager's File</t>
  </si>
  <si>
    <t>Erweiterungsmodul für die Managerakte</t>
  </si>
  <si>
    <t>Tilläggsmodul för förvaltningsfilen</t>
  </si>
  <si>
    <t>Update voor de Excel EK-Pool naar versie</t>
  </si>
  <si>
    <t>Update for the Excel EC Pool to version</t>
  </si>
  <si>
    <t>Update für den Excel EM Pool auf Version</t>
  </si>
  <si>
    <t>Uppgradering av Excel fil EM Pool till version</t>
  </si>
  <si>
    <t>Helpbestand voor Excel-pool.nl</t>
  </si>
  <si>
    <t>Help File fot Excel-pool.nl</t>
  </si>
  <si>
    <t>Hilfedatei für Excel-pool.nl</t>
  </si>
  <si>
    <t>Hjälpfil till Excel-pool.nl</t>
  </si>
  <si>
    <t>LET OP: Voor een optimaal gebruik van dit bestand wordt geadviseerd om de macro's in te schakelen.</t>
  </si>
  <si>
    <t>PLEASE NOTE: For optional use of the manager's file, it is recommended to enable the macros.</t>
  </si>
  <si>
    <t>BITTE BEACHTEN: Für die optionale Verwendung der Manager-Datei wird empfohlen, die Makros zu aktivieren.</t>
  </si>
  <si>
    <t>OBS: För valfri användning av förvaltningsfilen, rekommenderas det att aktivera makron.</t>
  </si>
  <si>
    <t>LET OP: Deze module maakt gebruik van macro's. Het word geadviseerd om deze in te schakelen.</t>
  </si>
  <si>
    <t>PLEASE NOTE: This module makes use of macros. It's recommended to enable the macros.</t>
  </si>
  <si>
    <t>ACHTUNG: Dieses Modul verwendet Makros. Es wird empfohlen, die Makros zu aktivieren.</t>
  </si>
  <si>
    <t>OBS: Den här modulen använder makron. Det rekommenderas att aktivera makron.</t>
  </si>
  <si>
    <t>LET OP: Dit formulier bevat geen reglement. Vraag uw organisator om het reglement toe te voegen.</t>
  </si>
  <si>
    <t>PLEASE NOTE: This form does not contain any rules. Ask your organizer to add these.</t>
  </si>
  <si>
    <t>BITTE BEACHTEN SIE: Dieses Formular enthält keine Regeln. Bitten Sie Ihren Organisator, diese hinzuzufügen.</t>
  </si>
  <si>
    <t>OBS: Detta formulär innehåller inga regler. Be din arrangör lägga till dessa.</t>
  </si>
  <si>
    <t>LET OP: Deze module maakt gebruikt van macro's en is geschikt voor maximaal ### deelnemers.</t>
  </si>
  <si>
    <t>PLEASE NOTE: This module uses macros and is suitable for maximum ### participants.</t>
  </si>
  <si>
    <t>BITTE BEACHTEN: Dieses Modul verwendet Makros und ist für maximal ### Teilnehmer geeignet.</t>
  </si>
  <si>
    <t>OBS: Den här modulen använder makron och är lämplig för maximalt ### deltagare.</t>
  </si>
  <si>
    <t>LET OP: Deze ranglijst maakt gebruikt van macro's en is geschikt voor maximaal ### deelnemers.</t>
  </si>
  <si>
    <t>PLEASE NOTE: This external ranking uses macros and is suitable for maximum ### participants.</t>
  </si>
  <si>
    <t>BITTE BEACHTEN: Dieses externe Ranking verwendet Makros und ist für maximal ### Teilnehmer geeignet.</t>
  </si>
  <si>
    <t>OBS: Denna externa ranking använder makron och är lämplig för maximalt ### deltagare.</t>
  </si>
  <si>
    <t>LET OP: Deze update maakt gebruik van macro's. Geadviseerd wordt om deze in te schakelen.</t>
  </si>
  <si>
    <t>PLEASE NOTE: This update makes use of macros. It's recommended to enable the macros.</t>
  </si>
  <si>
    <t>BITTE BEACHTEN: Dieses Update verwendet Makros. Es wird empfohlen, die Makros zu aktivieren.</t>
  </si>
  <si>
    <t>OBS! Den här uppdateringen använder makron. Det rekommenderas att aktivera makron.</t>
  </si>
  <si>
    <t>Deelnemers</t>
  </si>
  <si>
    <t>Participants</t>
  </si>
  <si>
    <t>Teilnehmer</t>
  </si>
  <si>
    <t>Deltagarna</t>
  </si>
  <si>
    <t>Voorblad</t>
  </si>
  <si>
    <t>Cover</t>
  </si>
  <si>
    <t>Startseite</t>
  </si>
  <si>
    <t>Försättsblad</t>
  </si>
  <si>
    <t>Reglement</t>
  </si>
  <si>
    <t>Rules</t>
  </si>
  <si>
    <t>Regeln</t>
  </si>
  <si>
    <t>Regler</t>
  </si>
  <si>
    <t>Prijzenpot</t>
  </si>
  <si>
    <t>Prize pool</t>
  </si>
  <si>
    <t>Gewinntopf</t>
  </si>
  <si>
    <t>Prispotten</t>
  </si>
  <si>
    <t>Groepswedstrijden</t>
  </si>
  <si>
    <t>Group Matches</t>
  </si>
  <si>
    <t>Gruppenspiele</t>
  </si>
  <si>
    <t>Gruppspel</t>
  </si>
  <si>
    <t>Eindstand Groep</t>
  </si>
  <si>
    <t>Final Ranking Group</t>
  </si>
  <si>
    <t>Endgültige Ranglistengruppe</t>
  </si>
  <si>
    <t>Ranking gruppspel</t>
  </si>
  <si>
    <t>Finalewedstrijden</t>
  </si>
  <si>
    <t>Final Matches</t>
  </si>
  <si>
    <t>Endspiele</t>
  </si>
  <si>
    <t>Slutspel</t>
  </si>
  <si>
    <t>Bonusvragen</t>
  </si>
  <si>
    <t>Bonus Questions</t>
  </si>
  <si>
    <t>Bonusfragen</t>
  </si>
  <si>
    <t>Bonus frågor</t>
  </si>
  <si>
    <t>Deelnamecode</t>
  </si>
  <si>
    <t>Participation Code</t>
  </si>
  <si>
    <t>Teilnahmecode</t>
  </si>
  <si>
    <t>Deltagarekod</t>
  </si>
  <si>
    <t>Reglement Display</t>
  </si>
  <si>
    <t>Rules Display</t>
  </si>
  <si>
    <t>Regelanzeige</t>
  </si>
  <si>
    <t>Skärm regler</t>
  </si>
  <si>
    <t>Beheerders Display</t>
  </si>
  <si>
    <t>Managers Display</t>
  </si>
  <si>
    <t>Manager-Anzeige</t>
  </si>
  <si>
    <t>Förvaltningsskärm</t>
  </si>
  <si>
    <t>Uitslagen</t>
  </si>
  <si>
    <t>Results</t>
  </si>
  <si>
    <t>Ergebnisse</t>
  </si>
  <si>
    <t>Resultat</t>
  </si>
  <si>
    <t>Openvragen</t>
  </si>
  <si>
    <t>Open Questions</t>
  </si>
  <si>
    <t>Offene Fragen</t>
  </si>
  <si>
    <t>Öppna frågor</t>
  </si>
  <si>
    <t>Punten Groepswedstrijden</t>
  </si>
  <si>
    <t>Points Group Matches</t>
  </si>
  <si>
    <t>Punkte Gruppenspiele</t>
  </si>
  <si>
    <t>Poäng gruppspel matcher</t>
  </si>
  <si>
    <t>Punten Eindstand Groepsdase</t>
  </si>
  <si>
    <t>Points Final Ranking Group</t>
  </si>
  <si>
    <t>Punkte Finale Rangliste Gruppe</t>
  </si>
  <si>
    <t>Poäng ranking gruppspel</t>
  </si>
  <si>
    <t>Punten Finalewedstrijden</t>
  </si>
  <si>
    <t>Points Final Matches</t>
  </si>
  <si>
    <t>Punkte Endspiele</t>
  </si>
  <si>
    <t>Poäng slutspel matcher</t>
  </si>
  <si>
    <t>Punten Bonusvragen</t>
  </si>
  <si>
    <t>Points Bonus Questions</t>
  </si>
  <si>
    <t>Fragen zum Punktebonus</t>
  </si>
  <si>
    <t>Poäng bonus frågor</t>
  </si>
  <si>
    <t>Ranglijst</t>
  </si>
  <si>
    <t>Ranking</t>
  </si>
  <si>
    <t>Rangfolge</t>
  </si>
  <si>
    <t>Voorspellingen</t>
  </si>
  <si>
    <t>Predictions</t>
  </si>
  <si>
    <t>Vorhersagen</t>
  </si>
  <si>
    <t>Förutsägelser</t>
  </si>
  <si>
    <t>Kladblok</t>
  </si>
  <si>
    <t>Notepad</t>
  </si>
  <si>
    <t>Notizblock</t>
  </si>
  <si>
    <t>Anteckningsblock</t>
  </si>
  <si>
    <t>Teams Instellen</t>
  </si>
  <si>
    <t>Setting Up Teams</t>
  </si>
  <si>
    <t>Einrichten von Teams</t>
  </si>
  <si>
    <t>Laginställningar</t>
  </si>
  <si>
    <t>Teams</t>
  </si>
  <si>
    <t>Lag</t>
  </si>
  <si>
    <t>Choose your language</t>
  </si>
  <si>
    <t>Dutch</t>
  </si>
  <si>
    <t>English</t>
  </si>
  <si>
    <t>German (under development)</t>
  </si>
  <si>
    <t>Swedish (under development)</t>
  </si>
  <si>
    <t>Landen</t>
  </si>
  <si>
    <t>Groep A</t>
  </si>
  <si>
    <t>Group A</t>
  </si>
  <si>
    <t>Gruppe A</t>
  </si>
  <si>
    <t>Grupp A</t>
  </si>
  <si>
    <t>Schotland</t>
  </si>
  <si>
    <t>Scotland</t>
  </si>
  <si>
    <t>Skottland</t>
  </si>
  <si>
    <t>Hongarije</t>
  </si>
  <si>
    <t>Hungary</t>
  </si>
  <si>
    <t>Ungarn</t>
  </si>
  <si>
    <t>Ungern</t>
  </si>
  <si>
    <t>Zwitserland</t>
  </si>
  <si>
    <t>Switzerland</t>
  </si>
  <si>
    <t>Schweiz</t>
  </si>
  <si>
    <t>Groep B</t>
  </si>
  <si>
    <t>Group B</t>
  </si>
  <si>
    <t>Gruppe B</t>
  </si>
  <si>
    <t>Grupp B</t>
  </si>
  <si>
    <t>Spanje</t>
  </si>
  <si>
    <t>Spain</t>
  </si>
  <si>
    <t>Spanien</t>
  </si>
  <si>
    <t>Kroatië</t>
  </si>
  <si>
    <t>Croatia</t>
  </si>
  <si>
    <t>Kroatien</t>
  </si>
  <si>
    <t>Italië</t>
  </si>
  <si>
    <t>Italy</t>
  </si>
  <si>
    <t>Italien</t>
  </si>
  <si>
    <t>Albanië</t>
  </si>
  <si>
    <t>Albania</t>
  </si>
  <si>
    <t>Albanien</t>
  </si>
  <si>
    <t>Groep C</t>
  </si>
  <si>
    <t>Group C</t>
  </si>
  <si>
    <t>Gruppe C</t>
  </si>
  <si>
    <t>Grupp C</t>
  </si>
  <si>
    <t>Slovenië</t>
  </si>
  <si>
    <t>Slovenia</t>
  </si>
  <si>
    <t>Slowenien</t>
  </si>
  <si>
    <t>Slovenien</t>
  </si>
  <si>
    <t>Denemarken</t>
  </si>
  <si>
    <t>Denmark</t>
  </si>
  <si>
    <t>Dänemark</t>
  </si>
  <si>
    <t>Danmark</t>
  </si>
  <si>
    <t>Servië</t>
  </si>
  <si>
    <t>Serbia</t>
  </si>
  <si>
    <t>Serbien</t>
  </si>
  <si>
    <t>Engeland</t>
  </si>
  <si>
    <t>England</t>
  </si>
  <si>
    <t>Groep D</t>
  </si>
  <si>
    <t>Group D</t>
  </si>
  <si>
    <t>Gruppe D</t>
  </si>
  <si>
    <t>Grupp D</t>
  </si>
  <si>
    <t>Polen</t>
  </si>
  <si>
    <t>Poland</t>
  </si>
  <si>
    <t>Nederland</t>
  </si>
  <si>
    <t>Netherlands</t>
  </si>
  <si>
    <t>Niederlande</t>
  </si>
  <si>
    <t>Nederländerna</t>
  </si>
  <si>
    <t>Oostenrijk</t>
  </si>
  <si>
    <t>Austria</t>
  </si>
  <si>
    <t>Österreich</t>
  </si>
  <si>
    <t>Österrike</t>
  </si>
  <si>
    <t>Frankrijk</t>
  </si>
  <si>
    <t>France</t>
  </si>
  <si>
    <t>Frankreich</t>
  </si>
  <si>
    <t>Frankrike</t>
  </si>
  <si>
    <t>Groep E</t>
  </si>
  <si>
    <t>Group E</t>
  </si>
  <si>
    <t>Gruppe E</t>
  </si>
  <si>
    <t>Grupp E</t>
  </si>
  <si>
    <t>België</t>
  </si>
  <si>
    <t>Belgium</t>
  </si>
  <si>
    <t>Belgien</t>
  </si>
  <si>
    <t>Slowakije</t>
  </si>
  <si>
    <t>Slovakia</t>
  </si>
  <si>
    <t>Slowakei</t>
  </si>
  <si>
    <t>Slovakien</t>
  </si>
  <si>
    <t>Roemenië</t>
  </si>
  <si>
    <t>Romania</t>
  </si>
  <si>
    <t>Rumänien</t>
  </si>
  <si>
    <t>Oekraïne</t>
  </si>
  <si>
    <t>Ukraine</t>
  </si>
  <si>
    <t>Ukraina</t>
  </si>
  <si>
    <t>Groep F</t>
  </si>
  <si>
    <t>Group F</t>
  </si>
  <si>
    <t>Gruppe F</t>
  </si>
  <si>
    <t>Grupp F</t>
  </si>
  <si>
    <t>Turkije</t>
  </si>
  <si>
    <t>Turkey</t>
  </si>
  <si>
    <t>Türkei</t>
  </si>
  <si>
    <t>Turkiet</t>
  </si>
  <si>
    <t>Georgië</t>
  </si>
  <si>
    <t>Georgia</t>
  </si>
  <si>
    <t>Georgien</t>
  </si>
  <si>
    <t>Portugal</t>
  </si>
  <si>
    <t>Tsjechië</t>
  </si>
  <si>
    <t>Czech Republic</t>
  </si>
  <si>
    <t>Tschechische Republik</t>
  </si>
  <si>
    <t>Tjeckien</t>
  </si>
  <si>
    <t>Groep G</t>
  </si>
  <si>
    <t>Group G</t>
  </si>
  <si>
    <t>Gruppe G</t>
  </si>
  <si>
    <t>Grupp G</t>
  </si>
  <si>
    <t>ZZZ_land_G1</t>
  </si>
  <si>
    <t>ZZZ_land_G2</t>
  </si>
  <si>
    <t>ZZZ_land_G3</t>
  </si>
  <si>
    <t>ZZZ_land_G4</t>
  </si>
  <si>
    <t>Groep H</t>
  </si>
  <si>
    <t>Group H</t>
  </si>
  <si>
    <t>Gruppe H</t>
  </si>
  <si>
    <t>ZZZ_land_H1</t>
  </si>
  <si>
    <t>ZZZ_land_H2</t>
  </si>
  <si>
    <t>ZZZ_land_H3</t>
  </si>
  <si>
    <t>ZZZ_land_H4</t>
  </si>
  <si>
    <t>Alfabetische volgorde van de landen</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</si>
  <si>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</si>
  <si>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</si>
  <si>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</si>
  <si>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</si>
  <si>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Albanees voetbalelftal</t>
  </si>
  <si>
    <t>Albanian national team</t>
  </si>
  <si>
    <t>Albanische Nationalmannschaft</t>
  </si>
  <si>
    <t>Albanska landslaget</t>
  </si>
  <si>
    <t>Belgisch voetbalelftal</t>
  </si>
  <si>
    <t>Belgian national team</t>
  </si>
  <si>
    <t>Belgische Nationalmannschaft</t>
  </si>
  <si>
    <t>Belgiska landslaget</t>
  </si>
  <si>
    <t>Deense voetbalelftal</t>
  </si>
  <si>
    <t>Danish national team</t>
  </si>
  <si>
    <t>Dänische Nationalmannschaft</t>
  </si>
  <si>
    <t>Danska landslaget</t>
  </si>
  <si>
    <t>Duits voetbalelftal</t>
  </si>
  <si>
    <t>German national team</t>
  </si>
  <si>
    <t>Deutsche Nationalmannschaft</t>
  </si>
  <si>
    <t>Tyska landslaget</t>
  </si>
  <si>
    <t>Engels voetbalelftal</t>
  </si>
  <si>
    <t>English national team</t>
  </si>
  <si>
    <t>Englische Nationalmannschaft</t>
  </si>
  <si>
    <t>Engelska landslaget</t>
  </si>
  <si>
    <t>Frans voetbalelftal</t>
  </si>
  <si>
    <t>French national team</t>
  </si>
  <si>
    <t>Französische Nationalmannschaft</t>
  </si>
  <si>
    <t>Franska landslaget</t>
  </si>
  <si>
    <t>Georgisch voetbalelftal</t>
  </si>
  <si>
    <t>Georgian national team</t>
  </si>
  <si>
    <t>Georgische Nationalmannschaft</t>
  </si>
  <si>
    <t>Georgiskt landslag</t>
  </si>
  <si>
    <t>Hongaars voetbalelftal</t>
  </si>
  <si>
    <t>Hungarian national team</t>
  </si>
  <si>
    <t>Ungarische Nationalmannschaft</t>
  </si>
  <si>
    <t>Ungerns landslag</t>
  </si>
  <si>
    <t>Italiaans voetbalelftal</t>
  </si>
  <si>
    <t>Italian national team</t>
  </si>
  <si>
    <t>Italienische Nationalmannschaft</t>
  </si>
  <si>
    <t>Italienska landslaget</t>
  </si>
  <si>
    <t>Kroatisch voetbalelftal</t>
  </si>
  <si>
    <t>Croatian national team</t>
  </si>
  <si>
    <t>Kroatische Nationalmannschaft</t>
  </si>
  <si>
    <t>Kroatiska landslaget</t>
  </si>
  <si>
    <t>Nederlands voetbalelftal</t>
  </si>
  <si>
    <t>Dutch national team</t>
  </si>
  <si>
    <t>Niederländische Nationalmannschaft</t>
  </si>
  <si>
    <t>Holländska landslaget</t>
  </si>
  <si>
    <t>Oekraïens voetbalelftal</t>
  </si>
  <si>
    <t>Ukrainian national team</t>
  </si>
  <si>
    <t>Ukrainische Nationalmannschaft</t>
  </si>
  <si>
    <t>Ukrainskt landslag</t>
  </si>
  <si>
    <t>Oostenrijks voetbalelftal</t>
  </si>
  <si>
    <t>Austrian national team</t>
  </si>
  <si>
    <t>Österreichische Nationalmannschaft</t>
  </si>
  <si>
    <t>Österrikiska landslaget</t>
  </si>
  <si>
    <t>Pools voetbalelftal</t>
  </si>
  <si>
    <t>Polish national team</t>
  </si>
  <si>
    <t>Polnische Nationalmannschaft</t>
  </si>
  <si>
    <t>Polska landslag</t>
  </si>
  <si>
    <t>Portugees voetbalelftal</t>
  </si>
  <si>
    <t>Portuguese national team</t>
  </si>
  <si>
    <t>Portugiesische Nationalmannschaft</t>
  </si>
  <si>
    <t>Portugisiska landslaget</t>
  </si>
  <si>
    <t>Roemeens voetbalelftal</t>
  </si>
  <si>
    <t>Romanian national team</t>
  </si>
  <si>
    <t>Rumänische Nationalmannschaft</t>
  </si>
  <si>
    <t>Rumäniens landslag</t>
  </si>
  <si>
    <t>Schots voetbalelftal</t>
  </si>
  <si>
    <t>Scottish national team</t>
  </si>
  <si>
    <t>Schottische Nationalmannschaft</t>
  </si>
  <si>
    <t>Skottlands landslag</t>
  </si>
  <si>
    <t>Servisch voetbalelftal</t>
  </si>
  <si>
    <t>Serbian national team</t>
  </si>
  <si>
    <t>Serbische Nationalmannschaft</t>
  </si>
  <si>
    <t>Serbiska landslaget</t>
  </si>
  <si>
    <t>Sloveens voetbalelftal</t>
  </si>
  <si>
    <t>Slovenian national team</t>
  </si>
  <si>
    <t>Slowenische Nationalmannschaft</t>
  </si>
  <si>
    <t>Sloveniens landslag</t>
  </si>
  <si>
    <t>Slowaaks voetbalelftal</t>
  </si>
  <si>
    <t>Slovak national team</t>
  </si>
  <si>
    <t>Slowakische Nationalmannschaft</t>
  </si>
  <si>
    <t>Slovakiska landslaget</t>
  </si>
  <si>
    <t>Spaans voetbalelftal</t>
  </si>
  <si>
    <t>Spanish national team</t>
  </si>
  <si>
    <t>Spanische Nationalmannschaft</t>
  </si>
  <si>
    <t>Spanska landslaget</t>
  </si>
  <si>
    <t>Tsjechisch voetbalelftal</t>
  </si>
  <si>
    <t>Czech national team</t>
  </si>
  <si>
    <t>Tschechische Nationalmannschaft</t>
  </si>
  <si>
    <t>Tjeckiska landslaget</t>
  </si>
  <si>
    <t>Turks voetbalelftal</t>
  </si>
  <si>
    <t>Turkish national team</t>
  </si>
  <si>
    <t>Türkische Nationalmannschaft</t>
  </si>
  <si>
    <t>Turkiska landslaget</t>
  </si>
  <si>
    <t>Zwisters voetbalelftal</t>
  </si>
  <si>
    <t>Swiss national team</t>
  </si>
  <si>
    <t>Schweizer Nationalmannschaft</t>
  </si>
  <si>
    <t>Schweiziska landslaget</t>
  </si>
  <si>
    <t>1/8 finales</t>
  </si>
  <si>
    <t>kwartfinales</t>
  </si>
  <si>
    <t>(halve)finales</t>
  </si>
  <si>
    <t>CELLEN T.B.V. ZOEKEN EN SORTEREN LANDEN I.V.M. MEERDERE TALEN</t>
  </si>
  <si>
    <t>WEDSTRIJD →</t>
  </si>
  <si>
    <t>40 uit</t>
  </si>
  <si>
    <t>39 uit</t>
  </si>
  <si>
    <t>41 uit</t>
  </si>
  <si>
    <t>43 uit</t>
  </si>
  <si>
    <t>45 thuis</t>
  </si>
  <si>
    <t>45 uit</t>
  </si>
  <si>
    <t>46 thuis</t>
  </si>
  <si>
    <t>46 uit</t>
  </si>
  <si>
    <t>48 thuis</t>
  </si>
  <si>
    <t>48 uit</t>
  </si>
  <si>
    <t>47 thuis</t>
  </si>
  <si>
    <t>47 uit</t>
  </si>
  <si>
    <t>49,50,51 thuis/uit</t>
  </si>
  <si>
    <r>
      <t xml:space="preserve">LANDEN IN GROEP </t>
    </r>
    <r>
      <rPr>
        <b/>
        <sz val="18"/>
        <rFont val="Calibri"/>
        <family val="2"/>
      </rPr>
      <t>→</t>
    </r>
  </si>
  <si>
    <t>VERTICAAL ZOEKEN</t>
  </si>
  <si>
    <t>GROEP</t>
  </si>
  <si>
    <t>ABCDEFGH</t>
  </si>
  <si>
    <t>DEF</t>
  </si>
  <si>
    <t>ADEF</t>
  </si>
  <si>
    <t>ABC</t>
  </si>
  <si>
    <t>ABCD</t>
  </si>
  <si>
    <t>ABDEF</t>
  </si>
  <si>
    <t>AC</t>
  </si>
  <si>
    <t>ABCF</t>
  </si>
  <si>
    <t>DE</t>
  </si>
  <si>
    <t>CDEF</t>
  </si>
  <si>
    <t>AB</t>
  </si>
  <si>
    <t>ABCDE</t>
  </si>
  <si>
    <t>DF</t>
  </si>
  <si>
    <t>ABCDEF</t>
  </si>
  <si>
    <t>C</t>
  </si>
  <si>
    <t>Reglement + Prijzenpot</t>
  </si>
  <si>
    <t>Het Algemeen Reglement</t>
  </si>
  <si>
    <t>The Participation Rules</t>
  </si>
  <si>
    <t>Die Teilnahmebedingungen</t>
  </si>
  <si>
    <t>Almänna bestämmelserna</t>
  </si>
  <si>
    <t>(pagina #)</t>
  </si>
  <si>
    <t>(page #)</t>
  </si>
  <si>
    <t>(Seite #)</t>
  </si>
  <si>
    <t>(sida #)</t>
  </si>
  <si>
    <t>De Regels</t>
  </si>
  <si>
    <t>The Rules</t>
  </si>
  <si>
    <t>Die Regeln</t>
  </si>
  <si>
    <t>Reglerna</t>
  </si>
  <si>
    <t>De Deelnamecode en/of het Deelname Formulier dienen voor ### ingeleverd te worden bij $$$ (&amp;&amp;&amp;).</t>
  </si>
  <si>
    <t>The Participation Code and / or the Participation Form must be submitted to $$$ (&amp;&amp;&amp;) before ###.</t>
  </si>
  <si>
    <t>Der Teilnahmecode und / oder das Teilnahmeformular müssen vor ### an $$$ (&amp;&amp;&amp;) gesendet werden.</t>
  </si>
  <si>
    <t>Deltagarkoden och / eller deltagandeformuläret skickas före ### till $$$ (&amp;&amp;&amp;).</t>
  </si>
  <si>
    <t>De Deelnamecode en/of het Deelname Formulier dienen voor ### gemaild te worden naar &amp;&amp;&amp;.</t>
  </si>
  <si>
    <t>The Participation Code and / or the Participation Form must be emailed to "&amp;&amp;&amp;" before ###.</t>
  </si>
  <si>
    <t>Der Teilnahmecode und / oder das Teilnahmeformular müssen vor ### per E-Mail an "&amp;&amp;&amp;" gesendet werden.</t>
  </si>
  <si>
    <t>Deltagarkoden och / eller deltagandeformuläret skickas till &amp;&amp;&amp; före ###.</t>
  </si>
  <si>
    <t>Ook de inleg dient voor de sluitingsdatum betaald te worden.</t>
  </si>
  <si>
    <t>The buy-in must also be paid before the closing date.</t>
  </si>
  <si>
    <t>Das Einstz muss ebenfalls vor dem Closing-Datum bezahlt werden.</t>
  </si>
  <si>
    <t>Betalningen inlägg görs innan sista inlämningsdagen</t>
  </si>
  <si>
    <t>Wanneer dit niet tijdig is gebeurd wordt de deelname ongeldig verklaard.</t>
  </si>
  <si>
    <t>If this is not done on time, the participation will be declared invalid.</t>
  </si>
  <si>
    <t>Erfolgt dies nicht rechtzeitig, wird die Teilnahme für ungültig erklärt.</t>
  </si>
  <si>
    <t>Om betalningen inte görs i tid förklaras deltagandet ogiltigt</t>
  </si>
  <si>
    <t>Na de start van de openingsceremonie is het niet meer mogelijk om uw voorspellingen aan te passen.</t>
  </si>
  <si>
    <t>After the start of the opening ceremony it is no longer possible to adjust your predictions.</t>
  </si>
  <si>
    <t>Nach Beginn der Eröffnungszeremonie ist es nicht mehr möglich, Ihre Prognosen anzupassen.</t>
  </si>
  <si>
    <t>Efter inledningen av öppningsceremonin är det inte längre möjligt att justera dina förutsägelser</t>
  </si>
  <si>
    <t>Voor aanvang van de eerste 1/8 finale is het eenmalige mogelijk om uw voorspellingen voor de finalewedstrijden aan te passen.</t>
  </si>
  <si>
    <t>Before the start of the first 1/8 final it is possible to adjust your predictions for the knockout phase once.</t>
  </si>
  <si>
    <t>Vor dem Start des ersten 1/8-Finales können Sie Ihre Vorhersagen für die Ko-Phase einmal anpassen.</t>
  </si>
  <si>
    <t>Innan första 1/8 finalen börjar är det möjligt att justera dina förutsägelser för slutspelt en gång.</t>
  </si>
  <si>
    <t>Bij deze pool is deelname gratis en is er dus geen inleg verplicht om mee te spelen.</t>
  </si>
  <si>
    <t>At this pool, participation is free and therefore no buy-in is required to participate.</t>
  </si>
  <si>
    <t>An diesem Pool ist die Teilnahme kostenlos und daher ist kein Einstz für die Teilnahme erforderlich.</t>
  </si>
  <si>
    <t>Med denna tips är deltagandet gratis och inget inlägg krävs för att spela med.</t>
  </si>
  <si>
    <t>Ondanks de prijzenpot is deelname aan deze pool gratis</t>
  </si>
  <si>
    <t>Despite the prize pool, participation in this pool is free</t>
  </si>
  <si>
    <t>Trotz des Preispools ist die Teilnahme an diesem Pool kostenlos</t>
  </si>
  <si>
    <t>Trots prispotten är deltagandet i denna tips gratis</t>
  </si>
  <si>
    <t>Deze pool heeft voor deelname een verplichte inleg van €###</t>
  </si>
  <si>
    <t>This pool has a mandatory buy-in of €### for participation</t>
  </si>
  <si>
    <t>Dieser Pool hat ein obligatorisches Einsatz von € ### für die Teilnahme</t>
  </si>
  <si>
    <t>Denna tips har en obligatorisk inlägg på SEK ### för att delta</t>
  </si>
  <si>
    <t>Deze pool heeft voor deelname een optionele inleg van €###</t>
  </si>
  <si>
    <t>This pool has an optional buy-in of €### for participation</t>
  </si>
  <si>
    <t>Dieser Pool hat ein optionales Einsatz von € ### für die Teilnahme</t>
  </si>
  <si>
    <t>Denna tips har en valfri deposition på SEK ### för deltagandet</t>
  </si>
  <si>
    <t>(zie werkblad 'Prijzenpot' voor meer info).</t>
  </si>
  <si>
    <t>(see worksheet 'Prijzenpot' for more info).</t>
  </si>
  <si>
    <t>(Siehe Arbeitsblatt 'Prijzenpot' für weitere Informationen).</t>
  </si>
  <si>
    <t>(se kalkylbladet 'Prijzenpot' för mer info).</t>
  </si>
  <si>
    <t>(zie de volgende pagina voor meer info).</t>
  </si>
  <si>
    <t>(see the next page for more info).</t>
  </si>
  <si>
    <t>(Weitere Informationen finden Sie auf der nächsten Seite).</t>
  </si>
  <si>
    <t>(se nästa sida för mer info).</t>
  </si>
  <si>
    <t>Het is wel toegestaan om als deelnemer meerdere deelname formulieren in te leveren.</t>
  </si>
  <si>
    <t>As a participant, it is permitted to submit multiple participation forms.</t>
  </si>
  <si>
    <t>Als Teilnehmer ist es erlaubt, mehrere Teilnahmeformulare einzureichen.</t>
  </si>
  <si>
    <t>Som deltagare är det tillåtet att skicka in flera deltagarblanketter.</t>
  </si>
  <si>
    <t>Het is niet toegestaan om als deelnemer meerdere deelname formulieren in te leveren.</t>
  </si>
  <si>
    <t>As a participant, it is not permitted to submit multiple participation forms.</t>
  </si>
  <si>
    <t>Als Teilnehmer ist es nicht gestattet, mehrere Teilnahmeformulare einzureichen.</t>
  </si>
  <si>
    <t>Som deltagare är det inte tillåtet att skicka in flera deltagarblanketter.</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</si>
  <si>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</si>
  <si>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</si>
  <si>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Es ist nicht möglich, Ergebnisse vorherzusagen, bei denen eine Mannschaft mehr als 9 Tore erzielt. Wenn eine Mannschaft in einem Spiel mehr als 9 Tore erzielt, werden 9 Tore für das Ergebnis vermerkt.</t>
  </si>
  <si>
    <t>Det är inte möjligt att förutspå resultatet där ett land gör mer än 9 mål. Om ett land gör fler än 9 mål under en match noteras 9 mål som resultat.</t>
  </si>
  <si>
    <t>Voor het voorspellen van de TOTO vult men een 1 in wanneer men denkt dat de thuisploeg zal winnen, een 2 als men denkt dat de uitploeg zal winnen en wanneer men een gelijkspel verwacht vult men een 3 in.</t>
  </si>
  <si>
    <t>For predicting the TOTO, enter a 1 when you think the home team will win, a 2 if you think the away team will win and when you expect a draw, you enter a 3.</t>
  </si>
  <si>
    <t>Um die TOTO vorherzusagen, geben Sie eine 1 ein, wenn Sie glauben, dass die Heimmannschaft gewinnen wird, eine 2, wenn Sie glauben, dass die Auswärtsmannschaft gewinnen wird, und wenn Sie ein Unentschieden erwarten, geben Sie eine 3 ein.</t>
  </si>
  <si>
    <t>För att förutspå "1X2", ange en 1 om man tror att hemmalaget vinner, en 2 om det tros att bortalaget vinner och om oavgjort förväntas, ange en 3.</t>
  </si>
  <si>
    <t>In de finalewedstrijden wordt de uitslag aangehouden die bereikt is na het verstrijken van de reguliere speeltijd inclusief de blessuretijd.</t>
  </si>
  <si>
    <t>During the knockout phase, the result that is reached after the end of the regular playing time including the injury time will be used.</t>
  </si>
  <si>
    <t>Während der Ko-Phase wird das Ergebnis verwendet, das nach dem Ende der regulären Spielzeit einschließlich der Verletzungszeit erreicht wird.</t>
  </si>
  <si>
    <t>Under slutspelet gäller det resultatet efter slutet av den ordinarie speltiden inklusive extra tid.</t>
  </si>
  <si>
    <t>In de finalewedstrijden wordt de uitslag aangehouden die bereikt is na het verstrijken van de eventuele verlenging inclusief de blessuretijd.</t>
  </si>
  <si>
    <t>During the knockout phase, the result that is reached after the possible extra time, including the injury time, will be used.</t>
  </si>
  <si>
    <t>In der K.-o.-Phase wird das Ergebnis verwendet, das nach der möglichen Verlängerung einschließlich der Nachspielzeit erreicht wird.</t>
  </si>
  <si>
    <t>Under slutspelet gäller det resultatet efter slutet av extra tid, inklusive tilläggstid.</t>
  </si>
  <si>
    <t>Een gelijkspel in de finalewedstrijden is dus ook mogelijk.</t>
  </si>
  <si>
    <t>A draw in the knockout phase is therefore also possible.</t>
  </si>
  <si>
    <t>Ein Unentschieden in der K.-o.-Phase ist daher auch möglich.</t>
  </si>
  <si>
    <t>Oavgjort i slutspel matcherna är därför också möjligt.</t>
  </si>
  <si>
    <t>In gevallen waar het reglement niet in voorziet, beslist de wedstrijdleiding.</t>
  </si>
  <si>
    <t>In all cases for which these regulations do not provide the organiser will make the final decision.</t>
  </si>
  <si>
    <t>In allen Fällen, für die dieses Reglement nicht vorsieht, trifft der Veranstalter die endgültige Entscheidung.</t>
  </si>
  <si>
    <t>I fall tipsets almänna bestämmelserna inte skulle vara tillräckliga, bestämmer tävlingsledningen.</t>
  </si>
  <si>
    <t>Door het inleveren van het deelname formulier gaat u akkoord met dit wedstrijdreglement.</t>
  </si>
  <si>
    <t>By submitting the participation form you agree to these competition rules.</t>
  </si>
  <si>
    <t>Mit dem Absenden des Teilnahmeformulars erklären Sie sich mit diesen Gewinnspielregeln einverstanden.</t>
  </si>
  <si>
    <t>Genom att skicka in anmälningsformuläret godkänner du tipsets regler.</t>
  </si>
  <si>
    <t xml:space="preserve"> </t>
  </si>
  <si>
    <t>januari</t>
  </si>
  <si>
    <t>January</t>
  </si>
  <si>
    <t>Januar</t>
  </si>
  <si>
    <t>Januari</t>
  </si>
  <si>
    <t>februari</t>
  </si>
  <si>
    <t>February</t>
  </si>
  <si>
    <t>Februar</t>
  </si>
  <si>
    <t>Februari</t>
  </si>
  <si>
    <t>maart</t>
  </si>
  <si>
    <t>March</t>
  </si>
  <si>
    <t>März</t>
  </si>
  <si>
    <t>Mars</t>
  </si>
  <si>
    <t>april</t>
  </si>
  <si>
    <t>April</t>
  </si>
  <si>
    <t>mei</t>
  </si>
  <si>
    <t>May</t>
  </si>
  <si>
    <t>Mai</t>
  </si>
  <si>
    <t>Maj</t>
  </si>
  <si>
    <t>juni</t>
  </si>
  <si>
    <t>June</t>
  </si>
  <si>
    <t>Juni</t>
  </si>
  <si>
    <t>juli</t>
  </si>
  <si>
    <t>July</t>
  </si>
  <si>
    <t>Juli</t>
  </si>
  <si>
    <t>augustus</t>
  </si>
  <si>
    <t>August</t>
  </si>
  <si>
    <t>Augusti</t>
  </si>
  <si>
    <t>september</t>
  </si>
  <si>
    <t>September</t>
  </si>
  <si>
    <t>oktober</t>
  </si>
  <si>
    <t>October</t>
  </si>
  <si>
    <t>Oktober</t>
  </si>
  <si>
    <t>november</t>
  </si>
  <si>
    <t>November</t>
  </si>
  <si>
    <t>december</t>
  </si>
  <si>
    <t>December</t>
  </si>
  <si>
    <t>Dezember</t>
  </si>
  <si>
    <t>De Puntentelling</t>
  </si>
  <si>
    <t>The Score</t>
  </si>
  <si>
    <t>Die Punktzahl</t>
  </si>
  <si>
    <t>Poängsättningen</t>
  </si>
  <si>
    <t>Punt</t>
  </si>
  <si>
    <t>Point</t>
  </si>
  <si>
    <t>Punkt</t>
  </si>
  <si>
    <t>Punten</t>
  </si>
  <si>
    <t>Points</t>
  </si>
  <si>
    <t>Punkte</t>
  </si>
  <si>
    <t>Poäng</t>
  </si>
  <si>
    <t>Het voorspellen van de landen in de finalewedstrijden</t>
  </si>
  <si>
    <t>Predicting the countries in the knockout phase</t>
  </si>
  <si>
    <t>Vorhersage der Länder in der K.-o.-Phase</t>
  </si>
  <si>
    <t>Förutspå länderna i slutspelet</t>
  </si>
  <si>
    <t>het land hoeft niet op de juiste positie te staan</t>
  </si>
  <si>
    <t>the country does not have to be in the right position</t>
  </si>
  <si>
    <t>das Land muss nicht in der richtigen Position sein</t>
  </si>
  <si>
    <t>länderna behöver inte stå i rätt position</t>
  </si>
  <si>
    <t>het land dient op de juiste positie te staan</t>
  </si>
  <si>
    <t>the country must be in the right position</t>
  </si>
  <si>
    <t>das Land muss in der richtigen Position sein</t>
  </si>
  <si>
    <t>länderna måste stå i rätt position</t>
  </si>
  <si>
    <t>voor het goed voorspellen van de winnaar van het EK.</t>
  </si>
  <si>
    <t>for correctly predicting the winner of the Europen Championship</t>
  </si>
  <si>
    <t>für die richtige Vorhersage des Siegers der Europameisterschaft.</t>
  </si>
  <si>
    <t>för att korrekt tippa vinnaren av Europamästerskapet</t>
  </si>
  <si>
    <t>voor elk goed voorspelde land in de finale</t>
  </si>
  <si>
    <t>for every correctly predicted country in the final</t>
  </si>
  <si>
    <t>für jedes richtig vorhergesagte Land im Finale</t>
  </si>
  <si>
    <t>för varje väl förutspått land i finalen</t>
  </si>
  <si>
    <t>voor elk goed voorspelde land in de troostfinale</t>
  </si>
  <si>
    <t>for every correctly predicted country in the consolation final</t>
  </si>
  <si>
    <t>für jedes richtig vorhergesagte Land im Trostfinale</t>
  </si>
  <si>
    <t>för varje väl förutspått land i tröstfinalen</t>
  </si>
  <si>
    <t>voor elk goed voorspelde land in de halve finales</t>
  </si>
  <si>
    <t>for every correctly predicted country in the semi-finals</t>
  </si>
  <si>
    <t>für jedes richtig vorhergesagte Land im Halbfinale</t>
  </si>
  <si>
    <t>för varje väl förutspått land i semifinalen</t>
  </si>
  <si>
    <t>voor elk goed voorspelde land in de kwartfinales</t>
  </si>
  <si>
    <t>for every correctly predicted country in the quarterfinals</t>
  </si>
  <si>
    <t>für jedes richtig vorhergesagte Land im Viertelfinale</t>
  </si>
  <si>
    <t>för varje väl förutspått land i kvartfinalen</t>
  </si>
  <si>
    <t>voor elk goed voorspelde land in de achtste finales</t>
  </si>
  <si>
    <t>for every correctly predicted country in the round of 16</t>
  </si>
  <si>
    <t>für jedes richtig vorhergesagte Land im Achtelfinale</t>
  </si>
  <si>
    <t>för varje väl förutspått land i åttonde finalen</t>
  </si>
  <si>
    <t>Heeft men het land niet op de juiste positie voorspeld maar het heeft wel de betreffende finaleronde</t>
  </si>
  <si>
    <t>If you have not predicted the country in the correctly position but it has achieved the same knockout round,</t>
  </si>
  <si>
    <t>Wenn Sie das Land nicht in der richtigen Position vorhergesagt haben, es aber dieselbe K.-o.-Runde erreicht hat,</t>
  </si>
  <si>
    <t>Landet har inte förutspåtts i rätt position men landet har uppnått slutspelet.</t>
  </si>
  <si>
    <t>behaald dan ontvangt men alsnog de helft van het aantal punten voor het juist voorspellen van het land.</t>
  </si>
  <si>
    <t>you will still receive half of the points for correctly predicting the country.</t>
  </si>
  <si>
    <t>Sie erhalten immer noch die Hälfte der Punkte für die korrekte Vorhersage des Landes.</t>
  </si>
  <si>
    <t>I så fall får du fortfarande hälften av poängen för att ha förutspått korrekt land.</t>
  </si>
  <si>
    <t>behaald dan ontvangt men alsnog het volledig aantal punten voor het juist voorspellen van het land.</t>
  </si>
  <si>
    <t>you will receive the full points for correctly predicting the country.</t>
  </si>
  <si>
    <t>Sie erhalten die volle Punktzahl für die korrekte Vorhersage des Landes.</t>
  </si>
  <si>
    <t>I så fall kommer du fortfarande att få hela antalet poäng för att ha förutspått korrekt land.</t>
  </si>
  <si>
    <t>Het is niet toegestaan om een land meerdere keren te voorspellen in één finaleronde.</t>
  </si>
  <si>
    <t>It is not allowed to predict a country multiple times in one knockout round.</t>
  </si>
  <si>
    <t>Es ist nicht erlaubt, ein Land in einer Ko-Runde mehrmals vorherzusagen.</t>
  </si>
  <si>
    <t>Det är inte tillåtet att förutspå ett land flera gånger i slutspelet.</t>
  </si>
  <si>
    <t>Het is toegestaan om een land meerdere keren te voorspellen in één finaleronde.</t>
  </si>
  <si>
    <t>It is allowed to predict a country multiple times in one knockout round.</t>
  </si>
  <si>
    <t>Es ist erlaubt, ein Land mehrmals in einer K.-o.-Runde vorherzusagen.</t>
  </si>
  <si>
    <t>Det är tillåtet att förutspå ett land flera gånger i slutspelet.</t>
  </si>
  <si>
    <t>Punten voor het goed voorspellen van een land in de finaleronden worden pas meegeteld op het moment dat</t>
  </si>
  <si>
    <t>Points for correctly predicting a country in the knockout phase are added when the result of the match</t>
  </si>
  <si>
    <t>Punkte für die korrekte Vorhersage eines Landes in der K.-o.-Phase werden hinzugefügt, wenn das Ergebnis des Spiels</t>
  </si>
  <si>
    <t>Poäng för att ha förutspått korrekt land i slutspelet räknas inte förrän</t>
  </si>
  <si>
    <t>de uitslag van de betreffende wedstrijd bekend is.</t>
  </si>
  <si>
    <t>in question is known.</t>
  </si>
  <si>
    <t>das Ergebnis des jeweiligen Spiels bekannt ist.</t>
  </si>
  <si>
    <t>resultatet av matchen i fråga är känd.</t>
  </si>
  <si>
    <t>de uitslag van de betreffende wedstrijd bekend is of als het voorspelde land zijn wedstrijd heeft gespeeld.</t>
  </si>
  <si>
    <t>is known or when the predicted country has played its match.</t>
  </si>
  <si>
    <t>das Ergebnis des betreffenden Spiels bekannt ist oder das vorhergesagte Land sein Spiel gespielt hat.</t>
  </si>
  <si>
    <t>resultatet av matchen i fråga är känd eller om det förutspådde landet slutförde matchen.</t>
  </si>
  <si>
    <t>Het voorspellen van de eindstand in de groep</t>
  </si>
  <si>
    <t>Predicting the final ranking of the countries in the group stage</t>
  </si>
  <si>
    <t>Vorhersage der endgültigen Rangliste der Länder in der Gruppenphase</t>
  </si>
  <si>
    <t>Förutspå rankningen i gruppen</t>
  </si>
  <si>
    <t>voor elk goed voorspelde land bij de eindstand in de groep.</t>
  </si>
  <si>
    <t>points for correctly predicting the position of the countries in each group after the group stage.</t>
  </si>
  <si>
    <t>Punkte für die korrekte Vorhersage der Position der Länder in jeder Gruppe nach der Gruppenphase.</t>
  </si>
  <si>
    <t>för varje rätt förutspått land i gruppens slutrankning.</t>
  </si>
  <si>
    <t>Elk land mag maar één keer ingevuld worden bij de voorspelling van de eindstand in de groep.</t>
  </si>
  <si>
    <t>Each country may only be entered once when predicting the final ranking in the group.</t>
  </si>
  <si>
    <t>Jedes Land darf nur einmal bei der Vorhersage der Endplatzierung in der Gruppe gemeldet werden.</t>
  </si>
  <si>
    <t>Varje land får endast väljas en gång när man förutspår den slutliga rankningen i gruppen.</t>
  </si>
  <si>
    <t>De punten voor elke juiste voorspelling worden pas opgeteld als de laatste wedstrijd van de groep is gespeeld.</t>
  </si>
  <si>
    <t>The points for each correct prediction are only added when the last match of the group has been played.</t>
  </si>
  <si>
    <t>Die Punkte für jede richtige Vorhersage werden erst addiert, wenn das letzte Spiel der Gruppe gespielt wurde.</t>
  </si>
  <si>
    <t>Poängen för varje korrekt förutsägelse beräknas inte förrän sista matchen i gruppen har spelats.</t>
  </si>
  <si>
    <t>Het voorspellen van de TOTO</t>
  </si>
  <si>
    <t>Predicting the TOTO</t>
  </si>
  <si>
    <t>Vorhersage der TOTO</t>
  </si>
  <si>
    <t>Förutspå "1X2"</t>
  </si>
  <si>
    <t>voor het goed voorspellen van de TOTO (winst / verlies of gelijkspel).</t>
  </si>
  <si>
    <t>for correctly predicting the TOTO (win / loss or draw).</t>
  </si>
  <si>
    <t>für die korrekte Vorhersage des TOTO (Sieg / Niederlage oder Unentschieden).</t>
  </si>
  <si>
    <t>för ett korrekt förutsägelse av "1X2" (vinst / förlust eller oavgjort).</t>
  </si>
  <si>
    <t>Bij de finalewedstrijden is het niet noodzakelijk om de landen juist voorspeld te hebben om aanspraak te maken</t>
  </si>
  <si>
    <t>In the knockout phase, it is not necessary to have correctly predicted the countries to claim points for</t>
  </si>
  <si>
    <t>In der K.-o.-Phase ist es nicht erforderlich, die Länder richtig vorhergesagt zu haben, um Punkte zu beanspruchen</t>
  </si>
  <si>
    <t>I slutspelet är det inte nödvändigt att ha förutspått rätt länder för att kunna kräva</t>
  </si>
  <si>
    <t>Bij de finalewedstrijden dient men één of beide landen juist voorspeld te hebben om aanspraak te maken</t>
  </si>
  <si>
    <t>In the knockout phase, one or both countries must have been correctly predicted in order to claim points for</t>
  </si>
  <si>
    <t>In der K.-o.-Phase müssen ein oder beide Länder richtig vorhergesagt worden sein, um Punkte für</t>
  </si>
  <si>
    <t>I slutspelet krävs att ett eller både länder har förutspåtts rätt för att kunna kräva</t>
  </si>
  <si>
    <t>Bij de finalewedstrijden dient men beide landen juist voorspeld te hebben om aanspraak te maken</t>
  </si>
  <si>
    <t>In the knockout phase, both countries must have been correctly predicted in order to claim points for</t>
  </si>
  <si>
    <t>In der K.-o.-Phase müssen beide Länder richtig vorhergesagt worden sein, um Punkte für</t>
  </si>
  <si>
    <t>I finalen måste båda länder ha förutspåtts rätt för att kunna kräva</t>
  </si>
  <si>
    <t>op de punten voor het juist voorspellen van de TOTO.</t>
  </si>
  <si>
    <t>predicting the TOTO.</t>
  </si>
  <si>
    <t>Vorhersage des TOTO.</t>
  </si>
  <si>
    <t>poäng för att ha förutspått korrekt "1X2".</t>
  </si>
  <si>
    <t>Het voorspellen van de uitslag</t>
  </si>
  <si>
    <t>Predicting the match result</t>
  </si>
  <si>
    <t>Vorhersage des Spielergebnisses</t>
  </si>
  <si>
    <t>Förutspå resultatet</t>
  </si>
  <si>
    <t>voor het goed voorspellen van het aantal gescoorde doelpunten per spelend team.</t>
  </si>
  <si>
    <t>for correctly predicting the number of goals scored per team.</t>
  </si>
  <si>
    <t>für die korrekte Vorhersage der Anzahl der pro Team erzielten Tore.</t>
  </si>
  <si>
    <t>för att korrekt antal mål per spelande lag har förutspåtts.</t>
  </si>
  <si>
    <t>voor het goed voorspellen van het aantal gescoorde doelpunten per spelend team, mits de TOTO juist</t>
  </si>
  <si>
    <t>for correctly predicting the number of goals scored per team, provided that you have correctly predicted</t>
  </si>
  <si>
    <t>für die korrekte Vorhersage der Anzahl der pro Mannschaft erzielten Tore, vorausgesetzt, Sie haben richtig vorhergesagt</t>
  </si>
  <si>
    <t>för att korrekt antal mål per spelande lag har förutspåtts, förutsagt att du fyllde i rätt</t>
  </si>
  <si>
    <t>is voorspeld.</t>
  </si>
  <si>
    <t>the TOTO.</t>
  </si>
  <si>
    <t>der TOTO.</t>
  </si>
  <si>
    <t>"1X2"</t>
  </si>
  <si>
    <t>aftrek voor elk doelpunt dat de voorspelling afwijkt van de uitslag.</t>
  </si>
  <si>
    <t>deduction for each goal that the prediction deviates from the result.</t>
  </si>
  <si>
    <t>Abzug für jedes Tor, bei dem die Vorhersage vom Ergebnis abweicht.</t>
  </si>
  <si>
    <t>avdrag för varje mål som förutsägelsen avviker från resultatet.</t>
  </si>
  <si>
    <t>aftrek voor elk doelpunt dat de voorspelling afwijkt van de uitslag (van het juist voorspelde land).</t>
  </si>
  <si>
    <t>deduction for each goal that the prediction deviates from the result (from the correctly predicted country).</t>
  </si>
  <si>
    <t>Abzug für jedes Tor, bei dem die Vorhersage vom Ergebnis abweicht (vom korrekt vorhergesagten Land).</t>
  </si>
  <si>
    <t>avdrag för varje mål som förutsägelsen avviker från resultatet (från det korrekt förutspådde landet).</t>
  </si>
  <si>
    <t>Men ontvangt standaard ### $$$ voor elk land tijdens de groepswedstrijden, mits de TOTO juist is.</t>
  </si>
  <si>
    <t>You receive standard ### $$$ for each country during the group matches, provided the TOTO is correct.</t>
  </si>
  <si>
    <t>Sie erhalten während der Gruppenspiele Standard ### $$$ für jedes Land, sofern die TOTO korrekt ist.</t>
  </si>
  <si>
    <t>Som standard får du ### $$$ för varje land under gruppmatcher, förutsatt att "1X2" är korrekt.</t>
  </si>
  <si>
    <t>Men ontvangt standaard ### $$$ voor elk land tijdens de groepswedstrijden.</t>
  </si>
  <si>
    <t>You receive standard ### $$$ for each country during the group matches.</t>
  </si>
  <si>
    <t>Sie erhalten während der Gruppenspiele Standard ### $$$ für jedes Land.</t>
  </si>
  <si>
    <t>Som standard får du ### $$$ för varje land under gruppmatcher.</t>
  </si>
  <si>
    <t>Men ontvangt standaard ### $$$ per groepswedstrijd, mits de TOTO juist is.</t>
  </si>
  <si>
    <t>You receive standard ### $$$ per group match provided the TOTO is correct.</t>
  </si>
  <si>
    <t>Sie erhalten Standard ### $$$ pro Gruppenspiel, vorausgesetzt, die TOTO ist korrekt.</t>
  </si>
  <si>
    <t>Som standard får du ### $$$ per gruppmatch, förutsatt att "1X2" är korrekt.</t>
  </si>
  <si>
    <t>Men ontvangt standaard ### $$$ per groepswedstrijd.</t>
  </si>
  <si>
    <t>You receive standard ### $$$ per group match.</t>
  </si>
  <si>
    <t>Sie erhalten Standard ### $$$ pro Gruppenspiel.</t>
  </si>
  <si>
    <t>Som standard får du ### $$$ per gruppmatch.</t>
  </si>
  <si>
    <t>Men ontvangt standaard ### $$$ per finalewedstrijd, mits de TOTO juist is.</t>
  </si>
  <si>
    <t>You receive standard ### $$$ per finals provided that the TOTO is predicted correctly.</t>
  </si>
  <si>
    <t>Sie erhalten Standard ### $$$ pro Finale, vorausgesetzt, das TOTO wird richtig vorhergesagt.</t>
  </si>
  <si>
    <t>Som standard får du ### $$$ per match i slutspelet, förutsatt att "1X2" är korrekt.</t>
  </si>
  <si>
    <t>Men ontvangt standaard ### $$$ per finalewedstrijd.</t>
  </si>
  <si>
    <t>You receive standard ### $$$ per finals.</t>
  </si>
  <si>
    <t>Sie erhalten Standard ### $$$ pro Finale.</t>
  </si>
  <si>
    <t>Som standard får du ### $$$ per match i slutspelet.</t>
  </si>
  <si>
    <t>Men ontvangt standaard ### $$$ per finalewedstrijd mits één of beide landen en de TOTO juist zijn.</t>
  </si>
  <si>
    <t>You receive standard ### $$$ per finals provided that one or both countries and the TOTO is correct.</t>
  </si>
  <si>
    <t>Sie erhalten Standard ### $$$ pro Finale, vorausgesetzt, dass ein oder beide Länder und die TOTO korrekt sind.</t>
  </si>
  <si>
    <t>Som standard får du ### $$$ per match i slutspelet om ett eller båda länderna och "1X2" är korrekta.</t>
  </si>
  <si>
    <t>Men ontvangt standaard ### $$$ per finalewedstrijd mits één of beide landen juist zijn voorspeld.</t>
  </si>
  <si>
    <t>You receive standard ### $$$ per finals provided that one or both countries are predicted correctly.</t>
  </si>
  <si>
    <t>Sie erhalten Standard ### $$$ pro Finale, vorausgesetzt, eines oder beide Länder werden korrekt vorhergesagt.</t>
  </si>
  <si>
    <t>Som standard får du ### $$$ per match i slutspelt om ett eller båda länderna förutspåtts korrekt.</t>
  </si>
  <si>
    <t>Men ontvangt standaard ### $$$ per juist voorspelde land tijdens de finalewedstrijden, mits de TOTO juist is.</t>
  </si>
  <si>
    <t>You receive standard ### $$$ per correctly predicted country during the finals, provided the TOTO is correct.</t>
  </si>
  <si>
    <t>Sie erhalten während des Finales Standard ### $$$ pro korrekt vorhergesagtem Land, vorausgesetzt, die TOTO ist korrekt.</t>
  </si>
  <si>
    <t>Som standard får du ### $$$ per korrekt förutspått land i slutspelet, förutsatt att "1X2" är korrekt.</t>
  </si>
  <si>
    <t>Men ontvangt standaard ### $$$ per juist voorspelde land tijdens de finalewedstrijden.</t>
  </si>
  <si>
    <t>You receive standard ### $$$ per correctly predicted country during the finals.</t>
  </si>
  <si>
    <t>Sie erhalten während des Finales Standard ### $$$ für jedes richtig vorhergesagte Land.</t>
  </si>
  <si>
    <t>Som standard får du ### $$$ per korrekt förutspått land i slutspelet.</t>
  </si>
  <si>
    <t>Men ontvangt standaard ### $$$ per finalewedstrijd mits beide landen en de TOTO juist zijn voorspeld.</t>
  </si>
  <si>
    <t>You receive standard ### $$$ per finals provided that both countries and the TOTO are predicted correctly.</t>
  </si>
  <si>
    <t>Sie erhalten Standard ### $$$ pro Finale, vorausgesetzt, dass beide Länder und die TOTO richtig vorhergesagt werden.</t>
  </si>
  <si>
    <t>Som standard får du ### $$$ per match i slutspelet förutsatt att båda länderna och "1X2" förutspåddes korrekt.</t>
  </si>
  <si>
    <t>Men ontvangt standaard ### $$$ per finalewedstrijd mits beide landen juist zijn voorspeld.</t>
  </si>
  <si>
    <t>You receive standard ### $$$ per finals provided that both countries are predicted correctly.</t>
  </si>
  <si>
    <t>Sie erhalten Standard ### $$$ pro Finale, vorausgesetzt, beide Länder werden richtig vorhergesagt.</t>
  </si>
  <si>
    <t>Som standard får du ### $$$ per match i slutspelet om båda länderna förutspåddes korrekt.</t>
  </si>
  <si>
    <t>De aftrek van punten zal nooit hoger zijn dan de standaard verkregen punten.</t>
  </si>
  <si>
    <t>The deduction of points will never be more than the standard points obtained.</t>
  </si>
  <si>
    <t>Der Punktabzug wird nie höher sein als die erhaltenen Standardpunkte.</t>
  </si>
  <si>
    <t>Poängavdraget kommer aldrig att överstiga de ordinarie poängen.</t>
  </si>
  <si>
    <t>De aftrek van punten zal per land nooit hoger zijn dan de standaard verkregen punten per land.</t>
  </si>
  <si>
    <t>The deduction of points per country will never be more than the standard points obtained per country.</t>
  </si>
  <si>
    <t>Der Punktabzug pro Land wird nie höher sein als die Standardpunkte pro Land.</t>
  </si>
  <si>
    <t>Avdraget för poäng per land kommer aldrig att överstiga ordinarie poängen per land.</t>
  </si>
  <si>
    <t>Het voorspellen van de TOTO en de eindstand</t>
  </si>
  <si>
    <t>Predicting the TOTO and the match result</t>
  </si>
  <si>
    <t>Vorhersage des TOTO und des Spielergebnisses</t>
  </si>
  <si>
    <t xml:space="preserve"> Förutspå "1X2" och resultatet</t>
  </si>
  <si>
    <t>op de punten voor het juist voorspellen van de TOTO en/of eindstand.</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</si>
  <si>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</si>
  <si>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</si>
  <si>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</si>
  <si>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</si>
  <si>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</si>
  <si>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</si>
  <si>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Endast poäng erhålls när rätt land förutspås i finalen.</t>
  </si>
  <si>
    <t>op de punten voor het juist voorspellen van de eindstand.</t>
  </si>
  <si>
    <t>predichting the match result.</t>
  </si>
  <si>
    <t>Vorhersage des Spiergebnisses</t>
  </si>
  <si>
    <t>poäng för att ha förutspått korrekt resultatet.</t>
  </si>
  <si>
    <t>Bonuspunten</t>
  </si>
  <si>
    <t>Bonus points</t>
  </si>
  <si>
    <t>Bonuspunkte</t>
  </si>
  <si>
    <t>Bonuspoäng</t>
  </si>
  <si>
    <t>Bonus$$$ voor iedere finalewedstrijd waarbij beide landen op de juiste positie zijn voorspeld.</t>
  </si>
  <si>
    <t>Bonus $$$ for every knockout match where both countries are predicted in the right position.</t>
  </si>
  <si>
    <t>Bonus $$$ für jedes KO-Spiel, bei dem beide Länder in der richtigen Position vorhergesagt werden.</t>
  </si>
  <si>
    <t>Bonus $$$ för varje finalmatch där båda länderna förutspåddes i rätt position.</t>
  </si>
  <si>
    <t>Bonus$$$ voor iedere finalewedstrijd waarbij zowel de TOTO als de beide landen juist zijn voorspeld.</t>
  </si>
  <si>
    <t>Bonus $$$ for every knockout match where both the TOTO and the two countries are correctly predicted.</t>
  </si>
  <si>
    <t>Bonus $$$ für jedes Endspiel, bei dem sowohl der TOTO als auch beide Länder richtig vorhergesagt werden.</t>
  </si>
  <si>
    <t>Bonus $$$ för varje finalmatch där både "1X2" och båda länderna förutspåddes korrekt.</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</si>
  <si>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</si>
  <si>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</si>
  <si>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</si>
  <si>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</si>
  <si>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</si>
  <si>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</si>
  <si>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</si>
  <si>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</si>
  <si>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</si>
  <si>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</si>
  <si>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</si>
  <si>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</si>
  <si>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</si>
  <si>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</si>
  <si>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</si>
  <si>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</si>
  <si>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(bij de finalewedstrijden dienen ook de beide landen juist voorspeld te zijn).</t>
  </si>
  <si>
    <t>(in the knockout phase, both countries must also have been correctly predicted).</t>
  </si>
  <si>
    <t>(In der Ko-Phase müssen beide Länder ebenfalls korrekt vorhergesagt worden sein).</t>
  </si>
  <si>
    <t>(I slutspelet skall båda länderna ha förutspåtts korrekt).</t>
  </si>
  <si>
    <t>Bonus$$$ voor iedere groepswedstrijd waarbij het doelpuntenverschil tussen beide teams juist is voorspeld.</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</si>
  <si>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</si>
  <si>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</si>
  <si>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</si>
  <si>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voor iedere groeps- en finalewedstrijd waarbij het doelpuntenverschil tussen beide teams juist is voorspeld.</t>
  </si>
  <si>
    <t>Bonus $$$ for every group and final match where the goal difference between the two teams is correctly</t>
  </si>
  <si>
    <t>Bonus $$$ für jedes Gruppen- und Endspiel, bei dem die Tordifferenz zwischen den beiden Teams richtig</t>
  </si>
  <si>
    <t>Bonus $$$ för varje grupp och finalmatch där målskillnaden mellan de två lagen är korrekt förutspådd.</t>
  </si>
  <si>
    <t>predicted.</t>
  </si>
  <si>
    <t>vorhergesagt wird.</t>
  </si>
  <si>
    <t>Bonus$$$ voor iedere groeps- en finalewedstrijd waarbij het doelpuntenverschil tussen beide teams juist is voorspeld</t>
  </si>
  <si>
    <t>Bonus $$$ för varje grupp och finalmatch där målskillnaden mellan de två lagen är korrekt förutspådd</t>
  </si>
  <si>
    <t>Bonus$$$ voor het volledig juist voorspellen van alle landen bij de eindstand van één groep.</t>
  </si>
  <si>
    <t>Bonus $$$ for correctly predicting all the countries in the final standings of one group.</t>
  </si>
  <si>
    <t>Bonus $$$ für die richtige Vorhersage der Länder in der Endwertung einer Gruppe.</t>
  </si>
  <si>
    <t>Bonus $$$ för att korrekt förutsäga länderna i slutställningen i en grupp.</t>
  </si>
  <si>
    <t>De bonusvragen</t>
  </si>
  <si>
    <t>The bonus questions</t>
  </si>
  <si>
    <t>Die Bonusfragen</t>
  </si>
  <si>
    <t>Bonusfrågorna</t>
  </si>
  <si>
    <t>Zie het werkblad met de bonusvragen voor de puntentelling bij het juist beantwoorden van de bonusvragen.</t>
  </si>
  <si>
    <t>The points for correctly answering the bonus questions are shown on the worksheet with the bonus questions.</t>
  </si>
  <si>
    <t>Die Punkte für die richtige Beantwortung der Bonusfragen sind auf dem Arbeitsblatt mit den Bonusfragen angegeben.</t>
  </si>
  <si>
    <t>Se kalkylbladet med bonusfrågorna för information om hur poängräkning fungerar vid korrekt svar på bonusfrågorna.</t>
  </si>
  <si>
    <t>Zie de pagina met de bonusvragen voor de puntentelling bij het juist beantwoorden van de bonusvragen.</t>
  </si>
  <si>
    <t>The points for correctly answering the bonus questions are shown on the page with the bonus questions.</t>
  </si>
  <si>
    <t>Die Punkte für die richtige Beantwortung der Bonusfragen werden auf der Seite mit den Bonusfragen angezeigt.</t>
  </si>
  <si>
    <t>Se sidan med bonusfrågorna för information om hur poängräkning fungerar vid korrekt svar på bonusfrågorna.</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</si>
  <si>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</si>
  <si>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</si>
  <si>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</si>
  <si>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</si>
  <si>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In geval van tegenstrijdigheden als gevolg van incorrecte vertaling is het Nederlandstalige reglement maatgevend.</t>
  </si>
  <si>
    <t>In case of inconsistencies due to incorrect translation, the Dutch regulations prevail.</t>
  </si>
  <si>
    <t>Bei Unstimmigkeiten aufgrund einer fehlerhaften Übersetzung gelten die niederländischen Vorschriften.</t>
  </si>
  <si>
    <t>Vid avvikelser (motstridighet) på grund av felaktig översättning är de nederländska reglerna avgörande.</t>
  </si>
  <si>
    <t>De Prijzenpot</t>
  </si>
  <si>
    <t>The Prize Pool</t>
  </si>
  <si>
    <t>Der Gewinntopf</t>
  </si>
  <si>
    <t>Om deel te nemen aan deze pool bent u verplicht de vastgestelde inleg te betalen. De vastgestelde inleg</t>
  </si>
  <si>
    <t>To participate in this pool, you are obliged to pay the buy-in.</t>
  </si>
  <si>
    <t>Um an diesem Pool teilnehmen zu können, müssen Sie den Einsatz bezahlen.</t>
  </si>
  <si>
    <t xml:space="preserve">För att delta i denna pool är du skyldig att betala ditt inlägg som vi har kommit överens om. </t>
  </si>
  <si>
    <t>voor deze pool is ###.</t>
  </si>
  <si>
    <t>The buy-in for this pool is ###.</t>
  </si>
  <si>
    <t>Das Einsatz für diesen Pool beträgt ###.</t>
  </si>
  <si>
    <t>Inlägg för den här fotbollstipsen är ###.</t>
  </si>
  <si>
    <t>De inleg voor deelname aan deze pool is ###. U kunt er ook voor kiezen om zonder inleg deel te nemen</t>
  </si>
  <si>
    <t>The buy-in for participation in this pool is ###. You can also choose to participate for free.</t>
  </si>
  <si>
    <t>Das Einsatz für die Teilnahme an diesem Pool beträgt ###. Sie können auch kostenlos teilnehmen.</t>
  </si>
  <si>
    <t>Inlägg för att delta i denna fotbollstips är ###. Du kan också välja att delta utan inlägg</t>
  </si>
  <si>
    <r>
      <t>aan deze pool. U kunt dan ook geen aanspraak maken op de prijzenpot aan het einde van het toernooi</t>
    </r>
    <r>
      <rPr>
        <sz val="11"/>
        <rFont val="Calibri"/>
        <family val="2"/>
      </rPr>
      <t>¹</t>
    </r>
    <r>
      <rPr>
        <sz val="11"/>
        <rFont val="Calibri"/>
        <family val="2"/>
        <scheme val="minor"/>
      </rPr>
      <t>.</t>
    </r>
  </si>
  <si>
    <t>However, you cannot claim any of the prizes at the end of the tournament¹.</t>
  </si>
  <si>
    <t>Sie können jedoch am Ende des Turniers keinen der Preise beanspruchen¹.</t>
  </si>
  <si>
    <t>till denna fotbollstips. Du kommer därför inte att kunna göra anspråk på prispotten i slutet av turneringen¹.</t>
  </si>
  <si>
    <t>Deelname aan deze pool is kosteloos. Om aanspraak te maken op de prijzenpot is dan ook geen inleg</t>
  </si>
  <si>
    <t>Participation in this pool is free of charge. Therefore, no buy-in is</t>
  </si>
  <si>
    <t>Die Teilnahme an diesem Pool ist kostenlos. Daher ist kein Einsatz</t>
  </si>
  <si>
    <t>Deltagande i denna fotbollstips är gratis. Det finns därför ingen inlägg för att göra anspråk på prispotten</t>
  </si>
  <si>
    <t>noodzakelijk.</t>
  </si>
  <si>
    <t>required to claim any of the prizes at the end of the tournament.</t>
  </si>
  <si>
    <t>erforderlich, um einen der Preise am Ende des Turniers zu beanspruchen.</t>
  </si>
  <si>
    <t>nödvändig.</t>
  </si>
  <si>
    <t>De inleg dient voor aanvang van het toernooi betaald te worden aan de organisator.</t>
  </si>
  <si>
    <t xml:space="preserve">The buy-in must be paid to the organizer before the start of the tournament.
</t>
  </si>
  <si>
    <t>„Das Einsatz muss vor Turnierbeginn an den Veranstalter gezahlt werden.</t>
  </si>
  <si>
    <t>Inlägget måste betalas till arrangören innan turneringen börjar.</t>
  </si>
  <si>
    <t>Is dit niet op tijd gedaan dan zal uw deelname ongeldig worden verklaard.</t>
  </si>
  <si>
    <t>If this is not done on time, your participation will be declared invalid.</t>
  </si>
  <si>
    <t>Wenn dies nicht rechtzeitig erfolgt, wird Ihre Teilnahme für ungültig erklärt.</t>
  </si>
  <si>
    <t>Om detta inte görs i tid förklaras ditt deltagande ogiltigt.</t>
  </si>
  <si>
    <t>De eventuele inleg dient voor aanvang van het toernooi betaald te worden aan de organisator.</t>
  </si>
  <si>
    <t xml:space="preserve">The optional buy-in must be paid to the organizer before the start of the tournament.
</t>
  </si>
  <si>
    <t>„Das optionale Einsatz muss vor Turnierbeginn an den Veranstalter gezahlt werden.</t>
  </si>
  <si>
    <t>Varje inlägg måste betalas till arrangören innan turneringen börjar.</t>
  </si>
  <si>
    <t>Is dit niet op tijd gedaan dan zal u ook niet deelnemen in de prijzenpot.</t>
  </si>
  <si>
    <t>If this is not done on time, you will not participate in the prize pool either.</t>
  </si>
  <si>
    <t>Geschieht dies nicht rechtzeitig, nehmen Sie auch nicht am Preispool teil.</t>
  </si>
  <si>
    <t>Om detta inte görs i tid kommer du inte att delta i prispotten.</t>
  </si>
  <si>
    <t>De inleg dient met door middel van een contante betaling te voldoen.</t>
  </si>
  <si>
    <t>The buy-in must be paid in cash.</t>
  </si>
  <si>
    <t>Das Einsatz muss in bar bezahlt werden.</t>
  </si>
  <si>
    <t>Inlägget måste betalas med en kontant betalning.</t>
  </si>
  <si>
    <t>De inleg dient door middel van een bankoverschrijving overgemaakt worden.</t>
  </si>
  <si>
    <t>The buy-in must be paid by bank transfer.</t>
  </si>
  <si>
    <t>Das  muss per Banküberweisung bezahlt werden.</t>
  </si>
  <si>
    <t>Inlägget måste överföras via banköverföring.</t>
  </si>
  <si>
    <t>De inleg dient contant betaald te worden of door middel van een bankoverschrijving overgemaakt te worden.</t>
  </si>
  <si>
    <t>The buy-in must be paid in cash or transferred by bank transfer.</t>
  </si>
  <si>
    <t>Das Einsatz muss in bar bezahlt oder per Banküberweisung überwiesen werden.</t>
  </si>
  <si>
    <t>Inlägget måste betalas kontant eller via banköverföring.</t>
  </si>
  <si>
    <t>De inleg dient betaald te worden via een betaalverzoek welke de organisator u zal toesturen.</t>
  </si>
  <si>
    <t>The buy-in must be paid via a payment request that the organizer will send you.</t>
  </si>
  <si>
    <t>Das Einsatz muss über eine Zahlungsaufforderung bezahlt werden, die Ihnen der Veranstalter zusendet.</t>
  </si>
  <si>
    <t>Inlägget måste betalas via en betalningsförfrågan som arrangören skickar dig.</t>
  </si>
  <si>
    <t>De inleg dient contant betaald te worden of via een betaalverzoek welke de organisator u zal toesturen.</t>
  </si>
  <si>
    <t>The buy-in must be paid in cash or through a payment request that the organizer will send you.</t>
  </si>
  <si>
    <t>Das Einsatz muss in bar oder durch eine Zahlungsaufforderung, die Ihnen der Veranstalter zusendet, bezahlt werden.</t>
  </si>
  <si>
    <t>Inlägget måste betalas kontant eller via en betalningsförfrågan som arrangören skickar dig.</t>
  </si>
  <si>
    <t>rekeningnummer</t>
  </si>
  <si>
    <t>bank account</t>
  </si>
  <si>
    <t>Bankkonto</t>
  </si>
  <si>
    <t>kontonummer</t>
  </si>
  <si>
    <t>ter name van</t>
  </si>
  <si>
    <t>account name</t>
  </si>
  <si>
    <t>Kontobezeichnung</t>
  </si>
  <si>
    <t>kontohavarens namn</t>
  </si>
  <si>
    <t>onder vermelding van</t>
  </si>
  <si>
    <t>payment reference</t>
  </si>
  <si>
    <t>Zahlungsreferenz</t>
  </si>
  <si>
    <t>betalningsreferens</t>
  </si>
  <si>
    <t>Van de inleg komt ### ten goede aan het goede doel ($$$).</t>
  </si>
  <si>
    <t>### of the buy-in goes to charity ($$$).</t>
  </si>
  <si>
    <t>### des Einsatz gehen an wohltätige Zwecke ($$$).</t>
  </si>
  <si>
    <t>### av inlägget kommer att användas för välgörenhet ($$$).</t>
  </si>
  <si>
    <t>Van de inleg gaat ### naar de prijzenpot. Het restant komt ten goede aan de organisatie van de pool.</t>
  </si>
  <si>
    <t>From the buy-in, ### goes to the prize pool. The remainder will go the organization of the pool.</t>
  </si>
  <si>
    <t>Vom Einsatz geht ### in den Preispool. Der Rest wird für die Organisation des Pools verwendet.</t>
  </si>
  <si>
    <t>### går från inlägget till prispotten. Resten kommer att gynna poolens organisation.</t>
  </si>
  <si>
    <t>Voor iedere deelnemer zal de organisatie van de pool ### extra inleggen in de prijzenpot.</t>
  </si>
  <si>
    <t>For each participant, the organization of the pool will put an extra ### in the prize pool.</t>
  </si>
  <si>
    <t>Für jeden Teilnehmer bringt die Organisation des Pools ein zusätzliches ### in den Gewinntopf.</t>
  </si>
  <si>
    <t>För varje deltagare kommer organisationen av poolen att lägga till ### extra i prispotten.</t>
  </si>
  <si>
    <t>Indien meerdere spelers op dezelfde positie staan en recht hebben op prijzengeld zal de totale som</t>
  </si>
  <si>
    <t>If several players are in the same position and are entitled to one of the prizes. Then the total</t>
  </si>
  <si>
    <t>Wenn mehrere Spieler in derselben Position sind und Anspruch auf einen der Preise haben, Dann wird die Summe</t>
  </si>
  <si>
    <t>Om flera deltagare hamnar i samma position och har rätt till prispengar kommer den totala summan</t>
  </si>
  <si>
    <t>van het prijzengeld voor de gedeelde plekken verdeeld worden onder de rechthebbenden.</t>
  </si>
  <si>
    <t>sum of the prize money for the shared places will be divided among the relevant players.</t>
  </si>
  <si>
    <t>Die Summe des Preisgeldes für die geteilten Plätze wird unter den jeweiligen Spielern aufgeteilt.</t>
  </si>
  <si>
    <t>att delas mellan dessa deltagare.</t>
  </si>
  <si>
    <t>De verdeling van het prijzengeld gebeurt als volgt:</t>
  </si>
  <si>
    <t>The distribution of the prize money is as follows:</t>
  </si>
  <si>
    <t>Die Verteilung des Preisgeldes ist wie folgt:</t>
  </si>
  <si>
    <t>Prispengarna fördelas enligt följande:</t>
  </si>
  <si>
    <t>Nr.</t>
  </si>
  <si>
    <t>No.</t>
  </si>
  <si>
    <t>van de prijzenpot</t>
  </si>
  <si>
    <t>of the prize pool</t>
  </si>
  <si>
    <t>des Gewinntopf</t>
  </si>
  <si>
    <t>av prispotten</t>
  </si>
  <si>
    <t>Tevens zijn er diverse troostprijzen beschikbaar voor degene die net naast de prijzen grijpen.</t>
  </si>
  <si>
    <t>Also there are various consolation prizes available for those who grab next to the prizes.</t>
  </si>
  <si>
    <t>Außerdem gibt es verschiedene Trostpreise für diejenigen, die neben den Preisen greifen.</t>
  </si>
  <si>
    <t>Det finns också olika tröstpriser tillgängliga för dem som nästan skulle ha fått en pris.</t>
  </si>
  <si>
    <t>Tevens is er voor de nr. ### een troostprijs beschikbaar als troost voor het net naast de prijzen grijpen.</t>
  </si>
  <si>
    <t>Also for the number ### there is a consolation prize available as consolation for grasping the prizes.</t>
  </si>
  <si>
    <t>Auch für die Zahl ### gibt es einen Trostpreis als Trost für das Ergreifen der Preise.</t>
  </si>
  <si>
    <t>Det finns också ett tröstpris tillgängligt för nr. ### som en tröst för att precis missade priset.</t>
  </si>
  <si>
    <t>Tevens zijn er voor de nr. ### en $$$ troostprijzen beschikbaar voor degene die net naast de prijzen grijpen.</t>
  </si>
  <si>
    <t>Also for the no. ### and $$$ consolation prizes are available for those who just grab next to the prizes.</t>
  </si>
  <si>
    <t>Auch für die Nr. ### und $$$ Trostpreise sind für diejenigen erhältlich, die nur neben den Preisen greifen.</t>
  </si>
  <si>
    <t>Det finns också tröstpriser tillgängliga för ### och $$$ för att precis missade priset.</t>
  </si>
  <si>
    <t>Tevens zijn er voor de nr. ### t/m $$$ troostprijzen beschikbaar voor degene die net naast de prijzen grijpen.</t>
  </si>
  <si>
    <t>Also there are consolation prizes available for no. ### to $$$ for those who grab just next to the prizes.</t>
  </si>
  <si>
    <t>Außerdem gibt es Trostpreise für Nr. ### bis $$$ für diejenigen, die direkt neben den Preisen greifen.</t>
  </si>
  <si>
    <t>Det finns också tröstpriser tillgängliga för nr ### till $$$ för att precis missade priset.</t>
  </si>
  <si>
    <t>Daarnaast zijn er diverse poedelprijzen beschikbaar voor degenen die onderaan eindigen.</t>
  </si>
  <si>
    <t>In addition, there are various poodle prices available for those that end at the bottom.</t>
  </si>
  <si>
    <t>Darüber hinaus gibt es verschiedene Pudelpreise für diejenigen, die unten enden.</t>
  </si>
  <si>
    <t>Dessutom finns olika pudelpriser tillgängliga för dem som hamnat längst ner.</t>
  </si>
  <si>
    <t>Daarnaast ontvangt de laagst genoteerde deelnemer na afloop een poedelprijs.</t>
  </si>
  <si>
    <t>In addition, the lowest listed participant will receive a poodle prize afterwards.</t>
  </si>
  <si>
    <t>Außerdem erhält der niedrigste Teilnehmer im Anschluss einen Pudelpreis.</t>
  </si>
  <si>
    <t>Dessutom kommer den lägsta listade deltagaren att få ett pudelpris.</t>
  </si>
  <si>
    <t>Daarnaast ontvangen de ### laagst genoteerde deelnemers na afloop ieder een poedelprijs.</t>
  </si>
  <si>
    <t>In addition, the ### lowest-rated participants will each receive a poodle prize afterwards.</t>
  </si>
  <si>
    <t>Außerdem erhalten die ### am schlechtesten bewerteten Teilnehmer im Anschluss jeweils einen Pudelpreis.</t>
  </si>
  <si>
    <t>Dessutom får de ### lägsta listade deltagarna var och en ett pudelpris.</t>
  </si>
  <si>
    <t>Wanneer een niet betalende deelnemer in aanmerkingen komt voor de prijzenpot zal de prijs worden</t>
  </si>
  <si>
    <t>If a non-paying participant is eligible for one of the prizes, the prize will be passed on to the next</t>
  </si>
  <si>
    <t>Wenn ein nicht zahlender Teilnehmer für einen der Preise berechtigt ist, wird der Preis an den nächsten weitergegeben</t>
  </si>
  <si>
    <t>När en icke-betalande deltagare kvalificerar sig till prispotten blir priset flyttade till nästa betalande deltagare i rankingen.</t>
  </si>
  <si>
    <t>doorgeschoven naar de eerst volgende betalende deelnemer op de ranglijst.</t>
  </si>
  <si>
    <t>paying participant in the rankings.</t>
  </si>
  <si>
    <t>zahlender Teilnehmer in der Rangliste.</t>
  </si>
  <si>
    <t>deltagare i rankingen.</t>
  </si>
  <si>
    <t>Deelname Formlieren</t>
  </si>
  <si>
    <t>Deelname Formulier</t>
  </si>
  <si>
    <t>Participation Form</t>
  </si>
  <si>
    <t>Teilnahmeformular</t>
  </si>
  <si>
    <t>Excel Deelname Formulier</t>
  </si>
  <si>
    <t>Excel Participation Form</t>
  </si>
  <si>
    <t>Excel-Teilnahmeformular</t>
  </si>
  <si>
    <t>Excel-deltagarformulär</t>
  </si>
  <si>
    <t>Group Stage</t>
  </si>
  <si>
    <t>Gruppenbühne</t>
  </si>
  <si>
    <t>Gruppmatcher</t>
  </si>
  <si>
    <t>Final Ranking Group Stage</t>
  </si>
  <si>
    <t>Endgültige Rangliste Gruppenphase</t>
  </si>
  <si>
    <t>Gruppens slutranking</t>
  </si>
  <si>
    <t>Knockout Phase</t>
  </si>
  <si>
    <t>Knockout-Phase</t>
  </si>
  <si>
    <t>Bonusfrågor</t>
  </si>
  <si>
    <t>Lagen</t>
  </si>
  <si>
    <t>Naam</t>
  </si>
  <si>
    <t>Name</t>
  </si>
  <si>
    <t>Namn</t>
  </si>
  <si>
    <t>E-mail</t>
  </si>
  <si>
    <t>Email</t>
  </si>
  <si>
    <t>E-post</t>
  </si>
  <si>
    <t>(maximaal ## tekens)</t>
  </si>
  <si>
    <t>(max. ## characters)</t>
  </si>
  <si>
    <t>(max. ## Zeichen)</t>
  </si>
  <si>
    <t>(högst ## tecken)</t>
  </si>
  <si>
    <t>e-mailadres is niet verplicht</t>
  </si>
  <si>
    <t>e-mail address is not required</t>
  </si>
  <si>
    <t>E-Mail-Adresse ist nicht erforderlich</t>
  </si>
  <si>
    <t>e-postadress krävs inte</t>
  </si>
  <si>
    <t>Datum</t>
  </si>
  <si>
    <t>Date</t>
  </si>
  <si>
    <t>Tijd</t>
  </si>
  <si>
    <t>Time</t>
  </si>
  <si>
    <t>Zeit</t>
  </si>
  <si>
    <t>Tid</t>
  </si>
  <si>
    <t>Wedstrijd</t>
  </si>
  <si>
    <t>Match</t>
  </si>
  <si>
    <t>Spiel</t>
  </si>
  <si>
    <t>TOTO</t>
  </si>
  <si>
    <t>Eindstand</t>
  </si>
  <si>
    <t>Score</t>
  </si>
  <si>
    <t>Ergebnis</t>
  </si>
  <si>
    <t>Slutrankning</t>
  </si>
  <si>
    <t>Alle tijden zijn Midden-Europese Tijd (UCT+1)</t>
  </si>
  <si>
    <t>All times are Central European Time (UCT + 1)</t>
  </si>
  <si>
    <t>Alle Zeiten sind mitteleuropäische Zeit (UCT + 1)</t>
  </si>
  <si>
    <t>Alla tider är Centraleuropeisk tid (UCT + 1)</t>
  </si>
  <si>
    <t>Groep</t>
  </si>
  <si>
    <t>Group</t>
  </si>
  <si>
    <t>Gruppe</t>
  </si>
  <si>
    <t>Grupp</t>
  </si>
  <si>
    <t>Achtste Finale</t>
  </si>
  <si>
    <t>Round of 16</t>
  </si>
  <si>
    <t>Runde 16</t>
  </si>
  <si>
    <t>Åttonde finalen</t>
  </si>
  <si>
    <t>Kwartfinale</t>
  </si>
  <si>
    <t>Quarter-finals</t>
  </si>
  <si>
    <t>Viertel Finale</t>
  </si>
  <si>
    <t>Kvartsfinal</t>
  </si>
  <si>
    <t>Halve finale</t>
  </si>
  <si>
    <t>Semi-finals</t>
  </si>
  <si>
    <t>Semifinale</t>
  </si>
  <si>
    <t>Semifinaler</t>
  </si>
  <si>
    <t>Troostfinale</t>
  </si>
  <si>
    <t>Consolation Final</t>
  </si>
  <si>
    <t>Trost Finale</t>
  </si>
  <si>
    <t>Tröstfinal</t>
  </si>
  <si>
    <t>Finale</t>
  </si>
  <si>
    <t>Final</t>
  </si>
  <si>
    <t>Europees kampioen</t>
  </si>
  <si>
    <t>European Champion</t>
  </si>
  <si>
    <t>Europameister</t>
  </si>
  <si>
    <t>Europamästare</t>
  </si>
  <si>
    <t>1 winst voor de thuisploeg, 2 winst voor de uitploeg, 3 gelijkspel</t>
  </si>
  <si>
    <t>1 win for the home team, 2 win for the away team, 3 draw</t>
  </si>
  <si>
    <t>1 Sieg für die Heimmannschaft, 2 Sieg für die Auswärtsmannschaft, 3 Unentschieden</t>
  </si>
  <si>
    <t>1 seger för hemmalaget, 2 seger för bortalaget, 3 oavgjort</t>
  </si>
  <si>
    <t>suggesties altijd weergeven</t>
  </si>
  <si>
    <t>always show the suggestions</t>
  </si>
  <si>
    <t>zeige immer die Vorschläge</t>
  </si>
  <si>
    <t>visa alltid förslag</t>
  </si>
  <si>
    <t>suggesties verbergen na keuze</t>
  </si>
  <si>
    <t>hide suggestions after completion</t>
  </si>
  <si>
    <t>Vorschläge nach Fertigstellung ausblenden</t>
  </si>
  <si>
    <t>dölj förslag efter val</t>
  </si>
  <si>
    <t>suggesties niet weergeven</t>
  </si>
  <si>
    <t>do not display the suggestions</t>
  </si>
  <si>
    <t>Vorschläge nicht anzeigen</t>
  </si>
  <si>
    <t>visa inte förslag</t>
  </si>
  <si>
    <t>Toelichting bij het Invullen</t>
  </si>
  <si>
    <t>Notes on completing the Form</t>
  </si>
  <si>
    <t>Hinweise zum Ausfüllen des Formulars</t>
  </si>
  <si>
    <t>Hjälp vid ifyllning av formuläret</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</si>
  <si>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</si>
  <si>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</si>
  <si>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Die Hintergrundfarbe der auszufüllenden Felder zeigt den Status des Feldes an. Dieser Status entspricht der Tabelle rechts.</t>
  </si>
  <si>
    <t>Bakgrundsfärgen på fälten som ska fyllas i anger fältets status. Denna status motsvarar tabellen till höger.</t>
  </si>
  <si>
    <t>Goed ingevuld</t>
  </si>
  <si>
    <t>Entered correctly</t>
  </si>
  <si>
    <t>Richtig eingegeben</t>
  </si>
  <si>
    <t>Rätt ifylld</t>
  </si>
  <si>
    <t>Niet ingevuld</t>
  </si>
  <si>
    <t>No value entered</t>
  </si>
  <si>
    <t>Kein Wert eingegeben</t>
  </si>
  <si>
    <t>Ej ifylld</t>
  </si>
  <si>
    <t>Fout ingevuld</t>
  </si>
  <si>
    <t>Incorrectly entered</t>
  </si>
  <si>
    <t>Falsch eingegeben</t>
  </si>
  <si>
    <t>Ej korrekt ifylld</t>
  </si>
  <si>
    <t>De Groepswedstrijden - Groep A t/m F</t>
  </si>
  <si>
    <t>The Group Stage - Groups A to F</t>
  </si>
  <si>
    <t>Die Gruppenphase - Gruppen A bis F</t>
  </si>
  <si>
    <t>Gruppspelets matchar - Grupper A t.o.m. F</t>
  </si>
  <si>
    <t>Voorspel de uitslag van de groepswedstrijden en vul deze in op dit blad.</t>
  </si>
  <si>
    <t>Predict the results of the group matches and fill this in on this sheet.</t>
  </si>
  <si>
    <t>Sagen Sie die Ergebnisse der Gruppenspiele voraus und tragen Sie diese in dieses Blatt ein.</t>
  </si>
  <si>
    <t>Förutspå resultatet av gruppmatcherna och fyll i dem på det här arket.</t>
  </si>
  <si>
    <t>Voorspel welk team de wedstrijd wint of een gelijkspel en vul dit in op dit blad.</t>
  </si>
  <si>
    <t>Predict which team will win the match or a draw and fill this in on this sheet.</t>
  </si>
  <si>
    <t>Sagen Sie voraus, welches Team das Spiel oder ein Unentschieden gewinnt und tragen Sie dies in dieses Blatt ein.</t>
  </si>
  <si>
    <t>Förutspå vilket lag som vinner matchen eller oavgjort och fyll i det på det här arket.</t>
  </si>
  <si>
    <t>Eindstand Groep A t/m F</t>
  </si>
  <si>
    <t>Final Ranking Group A to F</t>
  </si>
  <si>
    <t>Endrangliste Gruppe A bis F</t>
  </si>
  <si>
    <t>Slutranking Grupp A till F</t>
  </si>
  <si>
    <t>Voorspel de eindstand van de verschillende groepen en vul deze in op dit blad.</t>
  </si>
  <si>
    <t>Predict the final ranking of the groups and fill this in on this sheet.</t>
  </si>
  <si>
    <t>Sagen Sie die endgültige Rangfolge der Gruppen voraus und tragen Sie diese in dieses Blatt ein.</t>
  </si>
  <si>
    <t>Förutspå slutrankningen för de olika grupperna och skriv in det på det här arket.</t>
  </si>
  <si>
    <t>Elk land mag maar één keer ingevuld worden bij het voorspellen van de eindstand in de groep.</t>
  </si>
  <si>
    <t>Each country may only be entered once when predicting the results of the groups.</t>
  </si>
  <si>
    <t>Jedes Land darf nur einmal bei der Vorhersage der Ergebnisse der Gruppen angegeben werden.</t>
  </si>
  <si>
    <t>Varje land får bara skrivas in en gång när man förutspår den slutliga rankningen i gruppen.</t>
  </si>
  <si>
    <t>Indeling van de groepen</t>
  </si>
  <si>
    <t>Overview of the groups</t>
  </si>
  <si>
    <t>Übersicht der Gruppen</t>
  </si>
  <si>
    <t>Gruppindelning</t>
  </si>
  <si>
    <t>Om u op weg te helpen kan op basis van voorgaande voorspellingen, mits volledig ingevuld, u een suggestie gegeven worden. U bent niet verplicht deze suggestie op te volgen.</t>
  </si>
  <si>
    <t>To help you on your way, you can be given a suggestion based on previous predictions, provided that they have been fully completed. You are not required to follow this suggestion.</t>
  </si>
  <si>
    <t>Um Ihnen auf Ihrem Weg zu helfen, können Sie auf der Grundlage früherer Vorhersagen einen Vorschlag erhalten, sofern diese vollständig ausgeführt wurden. Sie müssen diesem Vorschlag nicht folgen.</t>
  </si>
  <si>
    <t>För att hjälpa dig på vägen kan ett förslag ges baserat på tidigare förutsägelser, om de är fullständiga. Du är inte skyldig att följa detta förslag.</t>
  </si>
  <si>
    <t>Eindstand in de groep op basis van eerdere voorspellingen</t>
  </si>
  <si>
    <t>Final ranking in the group based on previous predictions</t>
  </si>
  <si>
    <t>Endgültige Platzierung in der Gruppe basierend auf früheren Vorhersagen</t>
  </si>
  <si>
    <t>Gruppens slutrankning baserat på tidigare förutsägelser</t>
  </si>
  <si>
    <t>Doelpunten voor</t>
  </si>
  <si>
    <t>Goals for</t>
  </si>
  <si>
    <t>Tore für</t>
  </si>
  <si>
    <t>Mål för</t>
  </si>
  <si>
    <t>Doelpunten tegen</t>
  </si>
  <si>
    <t>Goals against</t>
  </si>
  <si>
    <t>Tore gegen</t>
  </si>
  <si>
    <t>Mål mot</t>
  </si>
  <si>
    <t>LET OP: niet alle wedstrijden in groep # zijn ingevuld.</t>
  </si>
  <si>
    <t>NOTE: not all matches in group # contain a prediction.</t>
  </si>
  <si>
    <t>HINWEIS: Nicht alle Spiele in Gruppe # enthalten eine Vorhersage.</t>
  </si>
  <si>
    <t>OBS: inte alla matcher i grupp # är iflyllda.</t>
  </si>
  <si>
    <t>De Finalewedstrijden</t>
  </si>
  <si>
    <t>The Knockout Phase</t>
  </si>
  <si>
    <t>Die Knockout-Phase</t>
  </si>
  <si>
    <t>Voorspel de landen en de uitslag van de Finalewedstrijden en vul deze in op dit blad.</t>
  </si>
  <si>
    <t>For each final round, predict the countries and the results and enter them on this sheet.</t>
  </si>
  <si>
    <t>Sagen Sie für jede Endrunde die Länder und die Ergebnisse voraus und tragen Sie sie in dieses Blatt ein.</t>
  </si>
  <si>
    <t>Förutspår länderna och slutspelmatchernas resultaten och fyll i dem på det här arket.</t>
  </si>
  <si>
    <t>Voorspel de landen en welk team de wedstrijd wint of een gelijkspel en vul dit in op dit blad.</t>
  </si>
  <si>
    <t>For each final round, predict the countries and which team will win the match or a draw and enter this on this sheet.</t>
  </si>
  <si>
    <t>Sagen Sie für jede Endrunde die Länder und das Team voraus, das das Spiel oder ein Unentschieden gewinnt, und tragen Sie dies auf diesem Blatt ein.</t>
  </si>
  <si>
    <t>Förutspår länderna och det laget som vinner matchen eller oavgjort och fyll i det på det här arket.</t>
  </si>
  <si>
    <t>Voorspel de landen in de Finalewedstrijden en vul deze in op dit blad.</t>
  </si>
  <si>
    <t>For each final round, predict the countries and enter them on this sheet.</t>
  </si>
  <si>
    <t>Sagen Sie für jede Endrunde die Länder voraus und tragen Sie sie auf diesem Blatt ein.</t>
  </si>
  <si>
    <t>Förutspår länderna i slutspelet och fyll i dem på det här arket.</t>
  </si>
  <si>
    <t>Het is niet toegestaan een land meerdere keren in te vullen in dezelfde speelronde.</t>
  </si>
  <si>
    <t>It is not allowed to predict a country multiple times in the same round.</t>
  </si>
  <si>
    <t>Es ist nicht erlaubt, ein Land mehrmals in einer Runde vorherzusagen.</t>
  </si>
  <si>
    <t>Det är inte tillåtet att fylla i ett land mer än en gång i samma spelomgång.</t>
  </si>
  <si>
    <t>Om u op weg te helpen kan op basis van voorgaande voorspellingen, mits volledig ingevuld, u een suggestie gegeven worden. U bent niet verplicht deze suggestie op te volgen. Voor de achste finales wordt de voorspelde eindstand van de groepen gebruikt.</t>
  </si>
  <si>
    <t>To help you on your way, you can be given a suggestion based on previous predictions, provided that they have been fully completed. You are not obliged to follow this up.. The predicted final ranking of the groups is used for the round of 16.</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</si>
  <si>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</si>
  <si>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För att hjälpa dig på vägen kan ett förslag ges baserat på tidigare förutsägelser, om de är fullständiga. Du är inte skyldig att följa detta förslag. Den förutspådda slutrankningen för grupperna används för åttonde finalen.</t>
  </si>
  <si>
    <t>To help you on your way, you can be given a suggestion based on previous predictions, provided that they have been fully completed. You are not obliged to follow this up.</t>
  </si>
  <si>
    <t>Um Ihnen auf Ihrem Weg zu helfen, können Sie auf der Grundlage früherer Vorhersagen einen Vorschlag erhalten, sofern diese vollständig ausgeführt wurden. Sie sind nicht verpflichtet, dies weiterzuverfolgen.</t>
  </si>
  <si>
    <t>Via onderstaande link kunt u de criteria vinden voor het bepalen van de 4 beste nummers 3 in de groepsfase.</t>
  </si>
  <si>
    <t>Via the link below you can find the criteria for determining the 4 best numbers 3 in the group phase.</t>
  </si>
  <si>
    <t>Über den untenstehenden Link finden Sie die Kriterien zur Ermittlung der 4 besten Nummern 3 in der Gruppenphase.</t>
  </si>
  <si>
    <t>Via länken nedan hittar du kriterierna för att bestämma de fyra bästa 3:orna i gruppspelet.</t>
  </si>
  <si>
    <t>Tevens vind u hier ook de verdeelsleutel voor het bepalen welk team in welke achtste finale speelt.</t>
  </si>
  <si>
    <t>You will also find a table here to determine which team plays in which 1/8 final.</t>
  </si>
  <si>
    <t>Hier finden Sie auch eine Tabelle, um zu bestimmen, welches Team in welchem ​​1/8-Finale spielt.</t>
  </si>
  <si>
    <t>Här hittar du också fördelningnyckeln för att bestämma vilket lag som spelar i vilken åttonde finalen.</t>
  </si>
  <si>
    <t>www.excel-pool.nl/4beste3</t>
  </si>
  <si>
    <t>www.excel-pool.nl/4best3</t>
  </si>
  <si>
    <t>Nr.1 Groep</t>
  </si>
  <si>
    <t>No.1 Group</t>
  </si>
  <si>
    <t>Nr.1 Gruppe</t>
  </si>
  <si>
    <t>Nr. 1 Grupp</t>
  </si>
  <si>
    <t>Nr.2 Groep</t>
  </si>
  <si>
    <t>No.2 Group</t>
  </si>
  <si>
    <t>Nr. 2 Gruppe</t>
  </si>
  <si>
    <t>Nr. 2 Grupp</t>
  </si>
  <si>
    <t>Nr.3 Groep</t>
  </si>
  <si>
    <t>No.3 Group</t>
  </si>
  <si>
    <t>Nr.3 Gruppe</t>
  </si>
  <si>
    <t>Nr. 3 Grupp</t>
  </si>
  <si>
    <t>Win. Wedstrijd</t>
  </si>
  <si>
    <t>Winner Match</t>
  </si>
  <si>
    <t>Gewinner-Spiel</t>
  </si>
  <si>
    <t>Vinnare match</t>
  </si>
  <si>
    <t>Verl. Wedstrijd</t>
  </si>
  <si>
    <t>Loser Match</t>
  </si>
  <si>
    <t>Verlierer-Spiel</t>
  </si>
  <si>
    <t>Förlorare match</t>
  </si>
  <si>
    <t>Om u op weg te helpen kan op basis van voorgaande voorspellingen, mits volledig ingevuld, u een suggestie gegeven worden.</t>
  </si>
  <si>
    <t>To help you on your way, you can be given a suggestion based on previous predictions, provided that they have been fully completed.</t>
  </si>
  <si>
    <t>Um Ihnen auf Ihrem Weg zu helfen, können Sie auf der Grundlage früherer Vorhersagen einen Vorschlag erhalten, sofern diese vollständig ausgeführt wurden.</t>
  </si>
  <si>
    <t>För att hjälpa dig på vägen kan ett förslag ges baserat på tidigare förutsägelser, om de är fullständiga.</t>
  </si>
  <si>
    <t>De Openvragen</t>
  </si>
  <si>
    <t>The Open Questions</t>
  </si>
  <si>
    <t>Die offenen Fragen</t>
  </si>
  <si>
    <t>De öppna frågorna</t>
  </si>
  <si>
    <t>Voor elk goed beantwoorde openvraag ontvangt u ## punt.</t>
  </si>
  <si>
    <t>You receive ## point for every well-answered open question.</t>
  </si>
  <si>
    <t>Für jede gut beantwortete offene Frage erhalten Sie ## Punkt.</t>
  </si>
  <si>
    <t>Du får ## poäng för rätt svar på varje öppen fråga.</t>
  </si>
  <si>
    <t>Voor elk goed beantwoorde openvraag ontvangt u ## punten.</t>
  </si>
  <si>
    <t>You receive ## points for each well-answered open question.</t>
  </si>
  <si>
    <t>Für jede gut beantwortete offene Frage erhalten Sie ## Punkte.</t>
  </si>
  <si>
    <t>Voorspel de topscorer van het toernooi</t>
  </si>
  <si>
    <t>Predict the top scorer of the tournament</t>
  </si>
  <si>
    <t>Sagen Sie den Torschützenkönig des Turniers voraus</t>
  </si>
  <si>
    <t>Förutspår turneringens skyttekungen</t>
  </si>
  <si>
    <t>Voorspel een ​​speler die een eigen doelpunt scoort</t>
  </si>
  <si>
    <t>Predict a player who scores an own goal</t>
  </si>
  <si>
    <t>Sagen Sie einen Spieler voraus, der ein Eigentor schießt</t>
  </si>
  <si>
    <t>Förutspår en spelare som gör ett självmål</t>
  </si>
  <si>
    <t>Voorspel een ​​speler die een rode kaart ontvangt</t>
  </si>
  <si>
    <t>Predict a player who receives a red card</t>
  </si>
  <si>
    <t>Sagen Sie einen Spieler voraus, der eine Rote Karte erhält</t>
  </si>
  <si>
    <t>Förutspår en spelare som får ett rött kort</t>
  </si>
  <si>
    <t>Voorspel de topscorer van het Nationale elftal</t>
  </si>
  <si>
    <t>Predict the top scorer of the national team</t>
  </si>
  <si>
    <t>Sagen Sie den Torschützenkönig der Nationalmannschaft voraus</t>
  </si>
  <si>
    <t>Förutspår landslagets skyttekungen</t>
  </si>
  <si>
    <t>Voorspel de topscorer van het</t>
  </si>
  <si>
    <t>Predict the top scorer of the</t>
  </si>
  <si>
    <t>Sagen Sie den Torschützenkönig der</t>
  </si>
  <si>
    <t>Förutspår skyttekungen för</t>
  </si>
  <si>
    <t>Voorspel het elftal met de meeste doelpunten</t>
  </si>
  <si>
    <t>Predict the team that will score the most goals.</t>
  </si>
  <si>
    <t>Sagen Sie die Mannschaft voraus, die die meisten Tore erzielt.</t>
  </si>
  <si>
    <t>Förutspår laget med flest mål</t>
  </si>
  <si>
    <t>Voorspel het elftal met de meeste doelpunten tegen</t>
  </si>
  <si>
    <t>Predict the team with the most goals against</t>
  </si>
  <si>
    <t>Sagen sie die Mannschaft mit die meiste Gegentore voraus</t>
  </si>
  <si>
    <t>Förutspår laget med flest mål mot</t>
  </si>
  <si>
    <t>Voorspel het elftal met de meeste rode en gele kaarten</t>
  </si>
  <si>
    <t>Predict the country with the most red and yellow cards</t>
  </si>
  <si>
    <t>Sagen Sie das Land mit den meisten roten und gelben Karten voraus</t>
  </si>
  <si>
    <t>Förutspår laget med flest röda och gula kort</t>
  </si>
  <si>
    <t>afhankelijk van het reglement worden de doelpunten gescoord tijdens de verlenging wel of niet meegeteld.</t>
  </si>
  <si>
    <t>depending on the rules, the goals scored during the extra time may or may not be included in the count.</t>
  </si>
  <si>
    <t>Je nach Regel können die in der Verlängerung erzielten Tore in die Zählung einfließen oder nicht.</t>
  </si>
  <si>
    <t>Beroende på reglerna kan målen som görs under förlängningen räknas eller inte.</t>
  </si>
  <si>
    <t>alleen de doelpunten gescoord gedurende de reguliere speeltijd inclusief blessuretijd worden meegeteld.</t>
  </si>
  <si>
    <t>only the goals scored during the regular playing time including injury time are counted.</t>
  </si>
  <si>
    <t>Es werden nur die Tore gezählt, die während der regulären Spielzeit einschließlich der Verletzungszeit erzielt wurden.</t>
  </si>
  <si>
    <t>endast mål som görs under ordinarie tid inklusive tilläggstid räknas.</t>
  </si>
  <si>
    <t>alleen de doelpunten gescoord gedurende de reguliere speeltijd, blessuretijd en eventuele verlenging worden meegeteld.</t>
  </si>
  <si>
    <t>only the goals scored during the regular playing time, injury time and possible extra time are counted.</t>
  </si>
  <si>
    <t>Es werden nur die Tore gezählt, die während der regulären Spielzeit, der Nachspielzeit und einer möglichen Verlängerung erzielt wurden.</t>
  </si>
  <si>
    <t>endast de mål som gjordes under ordinarie tid, tilläggstid och eventuell extra tid räknas.</t>
  </si>
  <si>
    <t>één rode kaart wordt geteld als twee gele kaarten, bij indirect rood worden de gele kaarten niet meegeteld.</t>
  </si>
  <si>
    <t>one red card will be counted as two yellow cards, in the case of indirect red the yellow cards will not be counted.</t>
  </si>
  <si>
    <t>Eine rote Karte wird als zwei gelbe Karten gezählt. Bei indirekter roter Karte werden die gelben Karten nicht gezählt</t>
  </si>
  <si>
    <t>ett rött kort räknas som två gula kort, med indirekt rött räknas inte de gula korten.</t>
  </si>
  <si>
    <t>De Benaderingsvragen</t>
  </si>
  <si>
    <t>The Estimation Questions</t>
  </si>
  <si>
    <t>Die Schätzungsfragen</t>
  </si>
  <si>
    <t>Uppskattningsfrågor</t>
  </si>
  <si>
    <t>Voor elk goed beantwoorde benaderingsvraag ontvangt u ## punt.</t>
  </si>
  <si>
    <t>You receive ## point for every correctly answered estimination question.</t>
  </si>
  <si>
    <t>Für jede richtig beantwortete Schätzfrage erhalten Sie ## Punkt.</t>
  </si>
  <si>
    <t>Du får ##-poäng för varje korrekt svarad fråga.</t>
  </si>
  <si>
    <t>Voor elk goed beantwoorde benaderingsvraag ontvangt u ## punten.</t>
  </si>
  <si>
    <t>You receive ## points for each correctly answered estimination question.</t>
  </si>
  <si>
    <t>Für jede richtig beantwortete Schätzfrage erhalten Sie ## Punkte.</t>
  </si>
  <si>
    <t>Voor elk punt dat de voorspelling afwijkt van de uitkomst $$ punt aftrek tot een maximum van ## punten per benaderingsvraag. Standaard ontvangt men voor elke benaderingsvraag ## punten.</t>
  </si>
  <si>
    <t>For each point that the prediction deviates from the outcome, $$ point deduction applies to a maximum of ## points per estimation question. By default, people receive ## points for each estimation question.</t>
  </si>
  <si>
    <t>Für jeden Punkt, bei dem die Vorhersage vom Ergebnis abweicht, gilt der $$ -Punktabzug für maximal ## Punkte pro Schätzfrage. Standardmäßig erhalten Personen ## Punkte für jede Schätzungsfrage.</t>
  </si>
  <si>
    <t>För varje punkt som förutsägelsen avviker från utfallet ## poängavdrag upp till maximalt $$ poäng per approximationsfråga. Som standard får du $$ poäng för varje inflygningsfråga.</t>
  </si>
  <si>
    <t>Voor elk punt dat de voorspelling afwijkt van de uitkomst $$ punten aftrek tot een maximum van ## punten per benaderingsvraag. Standaard ontvangt men voor elke benaderingsvraag ## punten.</t>
  </si>
  <si>
    <t>For each point that the prediction deviates from the outcome, $$ points deduction applies to a maximum of ## points per estimation question. By default they receive ##points for each estimation question.</t>
  </si>
  <si>
    <t>Für jeden Punkt, bei dem die Vorhersage vom Ergebnis abweicht, gilt der Abzug von $$ Punkten für maximal ## Punkte pro Schätzfrage. Standardmäßig erhalten sie ##Punkte für jede Schätzfrage.</t>
  </si>
  <si>
    <t>För varje punkt som förutsägelsen avviker från resultatet ## poängavdrag upp till maximalt $$ poäng per approximationsfråga. Som standard får du $$ poäng för varje tillvägagångssättsfråga.</t>
  </si>
  <si>
    <t>Per benaderingsvraag wordt de voorspelling die het dichtst bij de uitkomst ligt beloond met ## punt.</t>
  </si>
  <si>
    <t>For each estimation question, the prediction that is closest to the outcome is rewarded with  ## point.</t>
  </si>
  <si>
    <t>Für jede Schätzungsfrage wird die Vorhersage, die dem Ergebnis am nächsten kommt, mit ## Punkt belohnt.</t>
  </si>
  <si>
    <t>För varje uppskattningsfråga belönas förutsägelsen närmast resultatet med $$ poäng.</t>
  </si>
  <si>
    <t>Per benaderingsvraag wordt de voorspelling die het dichtst bij de uitkomst ligt beloond met ## punten.</t>
  </si>
  <si>
    <t>For each estimation question, the prediction that is closest to the outcome is rewarded with ## points.</t>
  </si>
  <si>
    <t>Für jede Schätzfrage wird die Vorhersage, die dem Ergebnis am nächsten kommt, mit ## Punkten belohnt.</t>
  </si>
  <si>
    <t>För varje approximationsfråga tilldelas förutsägelsen närmast resultatet $$ poäng.</t>
  </si>
  <si>
    <t>Per benaderingsvraag worden de $$ voorspellingen die het dichtst bij de uitkomst liggen beloond met ## punt.</t>
  </si>
  <si>
    <t>For each estimation question, the $$ predictions that are closest to the outcome are rewarded with ## point.</t>
  </si>
  <si>
    <t>Für jede Schätzungsfrage werden die $$-Prognosen, die dem Ergebnis am nächsten sind, mit ## Punkt belohnt.</t>
  </si>
  <si>
    <t>För varje tillvägagångsfråga belönas ## förutsägelserna närmast resultatet med $$ poäng.</t>
  </si>
  <si>
    <t>Per benaderingsvraag worden de $$ voorspellingen die het dichtst bij de uitkomst liggen beloond met ## punten.</t>
  </si>
  <si>
    <t>For each estimation question, the $$ predictions that are closest to the outcome are rewarded with ## points.</t>
  </si>
  <si>
    <t>Für jede Schätzungsfrage werden die $$-Prognosen, die dem Ergebnis am nächsten sind, mit ## Punkten belohnt.</t>
  </si>
  <si>
    <t>För varje tillvägagångssätt belönas ## förutsägelser närmast resultatet med $$ poäng.</t>
  </si>
  <si>
    <t>Totaal aantal gescoorde doelpunten tijdens het gehele toernooi</t>
  </si>
  <si>
    <t>Total number of goals scored during the entire tournament</t>
  </si>
  <si>
    <t>Gesamtzahl der während des gesamten Turniers erzielten Tore</t>
  </si>
  <si>
    <t>Totalt antal mål under hela turneringen</t>
  </si>
  <si>
    <t>Totaal aantal gegeven gele kaarten tijdens het gehele toernooi</t>
  </si>
  <si>
    <t>Total number of yellow cards given during the entire tournament</t>
  </si>
  <si>
    <t>Gesamtzahl der während des gesamten Turniers vergebenen gelben Karten</t>
  </si>
  <si>
    <t>Totalt antal gula kort som ges under hela turneringen</t>
  </si>
  <si>
    <t>Totaal aantal gegeven rode kaarten tijdens het gehele toernooi</t>
  </si>
  <si>
    <t>Total number of red cards given during the entire tournament</t>
  </si>
  <si>
    <t>Gesamtzahl der während des gesamten Turniers ausgegebenen roten Karten</t>
  </si>
  <si>
    <t>Totalt antal röda kort som ges under hela turneringen</t>
  </si>
  <si>
    <t>Aantal wedstrijden die eindigen in een gelijkspel voor beide teams</t>
  </si>
  <si>
    <t>Number of matches that end in a draw for both teams</t>
  </si>
  <si>
    <t>Anzahl der Spiele, die für beide Mannschaften unentschieden enden</t>
  </si>
  <si>
    <t>Antal matcher som slutar oavgjort för båda lagen</t>
  </si>
  <si>
    <t>Aantal wedstrijden die eindigen in winst voor één van de teams</t>
  </si>
  <si>
    <t>Number of matches that end in a win for one of the teams</t>
  </si>
  <si>
    <t>Anzahl der Spiele, die mit einem Sieg für eines der Teams enden</t>
  </si>
  <si>
    <t>Antal spel som slutar med en seger för ett av lagen</t>
  </si>
  <si>
    <t>twee gele kaarten voor één speler in een wedstrijd zal worden geteld als één rode kaart.</t>
  </si>
  <si>
    <t>two yellow cards for one player in a match will be counted as one red card.</t>
  </si>
  <si>
    <t>Zwei gelbe Karten für einen Spieler in einem Spiel werden als eine rote Karte gewertet.</t>
  </si>
  <si>
    <t>två gula kort till en spelare i en match räknas som ett rött kort.</t>
  </si>
  <si>
    <t>de stand na de reguliere speeltijd inclusief blessuretijd wordt aangehouden.</t>
  </si>
  <si>
    <t>the score after the regular playing time including injury time is normative.</t>
  </si>
  <si>
    <t>Die Punktzahl nach der regulären Spielzeit einschließlich der Verletzungszeit ist normativ.</t>
  </si>
  <si>
    <t>poängen efter ordinarie speltid inklusive tilläggstid räknas.</t>
  </si>
  <si>
    <t>de stand na de reguliere speeltijd, blessurre tijd en eventuele verlenging wordt aangehouden.</t>
  </si>
  <si>
    <t>the score after the regular playing time, injury time and possible extra time is normative.</t>
  </si>
  <si>
    <t>der Spielstand nach regulärer Spielzeit, Nachspielzeit und möglicher Verlängerung ist normativ.</t>
  </si>
  <si>
    <t>poängen efter ordinarie tid, tilläggstid och eventuell extra tid räknas.</t>
  </si>
  <si>
    <t>TIP</t>
  </si>
  <si>
    <t>HINT</t>
  </si>
  <si>
    <t>HINWEIS</t>
  </si>
  <si>
    <t>TIPS/RÅD</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</si>
  <si>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</si>
  <si>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</si>
  <si>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</si>
  <si>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</si>
  <si>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Het toernooi bestaat</t>
  </si>
  <si>
    <t>The tournament</t>
  </si>
  <si>
    <t>Der Turnier</t>
  </si>
  <si>
    <t>Turneringen består</t>
  </si>
  <si>
    <t>uit 51 wedstrijden</t>
  </si>
  <si>
    <t>consists of 51</t>
  </si>
  <si>
    <t>besteht aus 51</t>
  </si>
  <si>
    <t>av 51 matcher,</t>
  </si>
  <si>
    <t>waarvan 36 groeps-</t>
  </si>
  <si>
    <t>matches of which</t>
  </si>
  <si>
    <t>Spielen, davon</t>
  </si>
  <si>
    <t>varav 36 grupp-</t>
  </si>
  <si>
    <t>wedstrijden en 15</t>
  </si>
  <si>
    <t>36 group matches</t>
  </si>
  <si>
    <t>36 Gruppenspiele</t>
  </si>
  <si>
    <t>matcher och 15</t>
  </si>
  <si>
    <t>finales.</t>
  </si>
  <si>
    <t>and 15 finals.</t>
  </si>
  <si>
    <t>und 15 Endspiele.</t>
  </si>
  <si>
    <t>finaler.</t>
  </si>
  <si>
    <t>De Stellingen</t>
  </si>
  <si>
    <t>The Theses</t>
  </si>
  <si>
    <t>Behauptungen</t>
  </si>
  <si>
    <t>Ställningar</t>
  </si>
  <si>
    <t>Voor elk goed beantwoorde stelling ontvangt u ## punt.</t>
  </si>
  <si>
    <t>You receive ## point for each correct answer.</t>
  </si>
  <si>
    <t>Für jede richtige Antwort erhalten Sie ## Punkt.</t>
  </si>
  <si>
    <t>Du får en ## poäng för varje korrekt uttalande.</t>
  </si>
  <si>
    <t>Voor elk goed beantwoorde stelling ontvangt u ## punten.</t>
  </si>
  <si>
    <t>You receive ## points for each correct answer.</t>
  </si>
  <si>
    <t>Für jede richtige Antwort erhalten Sie ## Punkte.</t>
  </si>
  <si>
    <t>Du får ## poäng för varje korrekt uttalande.</t>
  </si>
  <si>
    <t>Eens</t>
  </si>
  <si>
    <t>True</t>
  </si>
  <si>
    <t>WAHR</t>
  </si>
  <si>
    <t>Ens</t>
  </si>
  <si>
    <t>Oneens</t>
  </si>
  <si>
    <t>False</t>
  </si>
  <si>
    <t>FALSCH</t>
  </si>
  <si>
    <t>Oense</t>
  </si>
  <si>
    <t>Net zoals tijdens EURO 2020 weten België, Duitsland, Engeland, Frankrijk, Italië, Nederland, Portugal en Spanje allen de achtste finales te bereiken.</t>
  </si>
  <si>
    <t>As at EURO 2020, Belgium, England, France, Germany, Italy, the Netherlands, Portugal and Spain all made it to the eighth finals.</t>
  </si>
  <si>
    <t>Wie bei der EURO 2020 haben Belgien, Deutschland, England, Frankreich, Italien, die Niederlande, Portugal und Spanien das Achtelfinale erreicht.</t>
  </si>
  <si>
    <t>Liksom vid EURO 2020 gick Belgien, England, Frankrike, Italien, Nederländerna, Portugal, Spanien och Tyskland till 16-delsfinal.</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</si>
  <si>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</si>
  <si>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</si>
  <si>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</si>
  <si>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</si>
  <si>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</si>
  <si>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</si>
  <si>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</si>
  <si>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</si>
  <si>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</si>
  <si>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</si>
  <si>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</si>
  <si>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</si>
  <si>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finale van het toernooi zal worden gespeeld door twee landen die in de groepsfase eerste van de groep zijn geworden.</t>
  </si>
  <si>
    <t>The final of the tournament will be played by two countries that finished first in the group stage.</t>
  </si>
  <si>
    <t>Das Finale des Turniers wird von den beiden Ländern bestritten, die in der Gruppenphase den ersten Platz belegt haben.</t>
  </si>
  <si>
    <t>Finalen i turneringen kommer att avgöras av de två länder som kom först i gruppspelet.</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</si>
  <si>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</si>
  <si>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</si>
  <si>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</si>
  <si>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</si>
  <si>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</si>
  <si>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</si>
  <si>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</si>
  <si>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</si>
  <si>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De winnaar van het toernooi weet al zijn finalewedstrijden, 4 stuks, te winnen binnen de reguliere speeltijd (inclusief blessuretijd).</t>
  </si>
  <si>
    <t>The winner of the tournament knows all his final matches, 4 matches, to win within the regular playing time (including injury time).</t>
  </si>
  <si>
    <t>Der Sieger des Turniers weiß alle seine letzten Spiele, 4 Spiele, innerhalb der regulären Spielzeit (einschließlich Nachspielzeit) zu gewinnen.</t>
  </si>
  <si>
    <t>Vinnaren av turneringen lyckas vinna alla sina finaler, 4 matcher, inom ordinarie speltid (inklusive tilläggstid).</t>
  </si>
  <si>
    <t>De winnaar van het toernooi heeft een beter doelsaldo dan de andere teams. In geval van een gelijk doelsaldo zijn de gescoorde doelpunten doorslaggevend.</t>
  </si>
  <si>
    <t>The winner of the tournament has a superior goal difference compare to the other teams. In case of  an equal goal difference, the goals scored are decisive.</t>
  </si>
  <si>
    <t>Der Sieger des Turniers hat im Vergleich zu den anderen Teams eine überlegene Tordifferenz. Bei gleicher Tordifferenz sind die erzielten Tore maßgebend.</t>
  </si>
  <si>
    <t>Vinnaren av turneringen har en bättre målskillnad än de andra lagen. Vid oavgjort är målen avgörande.</t>
  </si>
  <si>
    <t>Vinnaren av turneringen tillhandahåller också turneringens skyttekungen eller en av skyttekungarna.</t>
  </si>
  <si>
    <t>De winnaar van het toernooi levert tevens ook de topscorer van het toernooi of één van de topscorers.</t>
  </si>
  <si>
    <t>The winner of the tournament also supplies the top scorer of the tournament or one of the top scorers.</t>
  </si>
  <si>
    <t>Der Sieger des Turniers stellt auch den Torschützenkönig des Turniers oder einen der Torschützenkönige.</t>
  </si>
  <si>
    <t>Tijdens het toernooi weet een speler in één wedstrijd drie keer of meer te scoren, oftewel een hattrick. Benutte penalty's tijdens een strafschoppenserie tellen niet mee.</t>
  </si>
  <si>
    <t>During the tournament, a player manages to score three times or even more in one match. A so-called hat-trick. Goals during a penalty shootout do not count.</t>
  </si>
  <si>
    <t>Während des Turniers schafft es ein Spieler, in einem Spiel dreimal oder sogar mehr zu treffen. Ein sogenannter Hattrick. Tore während eines Elfmeterschießens zählen nicht.</t>
  </si>
  <si>
    <t>Under turneringen lyckas en spelare göra mål tre gånger eller ännu mer i en match. Ett så kallat hattrick. Straffläggning räknas inte.</t>
  </si>
  <si>
    <t>Alle 24 deelnemende landen weten elk minimaal één keer te scoren gedurende het toernooi.</t>
  </si>
  <si>
    <t xml:space="preserve"> All 24 participating countries have each scored at least once during the tournament.</t>
  </si>
  <si>
    <t>Alle 24 teilnehmenden Länder schießen während des Turniers mindestens ein Tor.</t>
  </si>
  <si>
    <t>Samtliga 24 deltagande länder lyckades göra var minst ett mål.</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</si>
  <si>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</si>
  <si>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</si>
  <si>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</si>
  <si>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</si>
  <si>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Gedurende het toernooi worden er niet meer dan zes doelpunten gescoord in één wedstrijd (inclusief een eventuele verlenging).</t>
  </si>
  <si>
    <t>During the tournament, no more than six goals will be scored in one match (including any extra time).</t>
  </si>
  <si>
    <t xml:space="preserve">Under turneringen görs inte fler än sex mål i en match inluderat extra tid. </t>
  </si>
  <si>
    <t>Gedurende het toernooi weet de scheidsrechter in twee of meerdere wedstrijden zijn kaarten op zak te houden.</t>
  </si>
  <si>
    <t>During the tournament, the referee manages to keep his cards in his pocket in two or more matches.</t>
  </si>
  <si>
    <t>Während des Turniers schafft es der Schiedsrichter, seine Karten in zwei oder mehreren Spielen in der Tasche zu behalten.</t>
  </si>
  <si>
    <t>Under turneringen lyckas domaren att behålla sina kort i två eller flera matcher.</t>
  </si>
  <si>
    <t>onvoldoende gegevens voor suggestie</t>
  </si>
  <si>
    <t>insufficient data for suggestion</t>
  </si>
  <si>
    <t>unzureichende Daten für Vorschlag</t>
  </si>
  <si>
    <t>otillräcklig data för förslag</t>
  </si>
  <si>
    <t>geen suggestie mogelijk</t>
  </si>
  <si>
    <t>no suggestion possible</t>
  </si>
  <si>
    <t>kein Vorschlag möglich</t>
  </si>
  <si>
    <t>inget förslag möjligt</t>
  </si>
  <si>
    <t>suggestie is op basis van enkel de groepswedstrijden</t>
  </si>
  <si>
    <t>suggestion is based on the group matches only</t>
  </si>
  <si>
    <t>Der Vorschlag basiert nur auf den Gruppenspielen</t>
  </si>
  <si>
    <t>förslaget baseras endast på gruppmatcher</t>
  </si>
  <si>
    <t>wedstrijden waarin de beslissing tijdens de verlenging valt zijn niet meegeteld</t>
  </si>
  <si>
    <t>matches in which the decision is made during extra time are not counted</t>
  </si>
  <si>
    <t>Spiele, bei denen die Entscheidung in der Verlängerung fällt, werden nicht gewertet</t>
  </si>
  <si>
    <t>matcher där avgörandet fattas under förlängning räknas inte</t>
  </si>
  <si>
    <t>doelpunten gescoord tijdens een eventuele verlenging zijn niet meegeteld</t>
  </si>
  <si>
    <t>goals scored during any extra time are not counted</t>
  </si>
  <si>
    <t>Tore, die während einer Verlängerung erzielt werden, werden nicht gezählt</t>
  </si>
  <si>
    <t>mål gjorda under någon förlängning räknas inte</t>
  </si>
  <si>
    <t>doelpunt</t>
  </si>
  <si>
    <t>goal</t>
  </si>
  <si>
    <t>Tor</t>
  </si>
  <si>
    <t>mål</t>
  </si>
  <si>
    <t>doelpunten</t>
  </si>
  <si>
    <t>goals</t>
  </si>
  <si>
    <t>Tore</t>
  </si>
  <si>
    <t>geen enkele keer gelijkspel voorspeld</t>
  </si>
  <si>
    <t>no draw predicted</t>
  </si>
  <si>
    <t>kein Unentschieden vorhergesagt</t>
  </si>
  <si>
    <t>inte en enda oavgjort match förutspått</t>
  </si>
  <si>
    <t>keer gelijkspel voorspeld</t>
  </si>
  <si>
    <t>times draw predicted</t>
  </si>
  <si>
    <t>mal Unentschieden vorhergesagt</t>
  </si>
  <si>
    <t>gånger förutspådde oavgjorda matcher</t>
  </si>
  <si>
    <t>geen enkele keer winst / verlies voorspeld</t>
  </si>
  <si>
    <t>no win / loss predicted</t>
  </si>
  <si>
    <t>kein Gewinn/Verlust vorhergesagt</t>
  </si>
  <si>
    <t>inga förutspådde vinst / förlust</t>
  </si>
  <si>
    <t>keer winst/verlies voorspeld</t>
  </si>
  <si>
    <t>times win / loss predicted</t>
  </si>
  <si>
    <t>mal Sieg / Niederlage vorhergesagt</t>
  </si>
  <si>
    <t>gånger förutspådde vinst / förlust</t>
  </si>
  <si>
    <t>De Deelnamecode</t>
  </si>
  <si>
    <t>The Participation Code</t>
  </si>
  <si>
    <t>Der Teilnahmecode</t>
  </si>
  <si>
    <t>Deltagarkoden</t>
  </si>
  <si>
    <t>Controle Onderdelen</t>
  </si>
  <si>
    <t>Checking the Form's Input Fields</t>
  </si>
  <si>
    <t>Überprüfen der Eingabefelder des Formulars</t>
  </si>
  <si>
    <t>Kontroll formulärets indata</t>
  </si>
  <si>
    <t>Gegevens Deelnemer</t>
  </si>
  <si>
    <t>Name Participant</t>
  </si>
  <si>
    <t>Name des Teilnehmers</t>
  </si>
  <si>
    <t>Uppgifter deltagare</t>
  </si>
  <si>
    <t>Het generen van de naamcode is niet mogelijk in verband met het ontbreken van uw naam. Voer uw naam in</t>
  </si>
  <si>
    <t>Generating the name code is not possible due to the lack of your name. Enter your name at the top of</t>
  </si>
  <si>
    <t>Die Generierung des Namenscodes ist mangels Ihres Namens nicht möglich. Geben Sie Ihren Namen oben in ein</t>
  </si>
  <si>
    <t>Genereringen av namnskoden är inte möjlig då ditt namn saknas. Ange ditt namn</t>
  </si>
  <si>
    <t>bovenaan het werkblad "Groepswedstrijden".</t>
  </si>
  <si>
    <t>the "Group Matches" worksheet.</t>
  </si>
  <si>
    <t>das Arbeitsblatt "Gruppenspiele".</t>
  </si>
  <si>
    <t>högst upp i arbetsbladet "Gruppmatchar".</t>
  </si>
  <si>
    <t>Het generen van de naamcode is niet mogelijk in verband met het ontbreken van uw e-mailadres. Voer uw</t>
  </si>
  <si>
    <t>Generating the name code is not possible due to the lack of your e-mail address. Enter your e-mail</t>
  </si>
  <si>
    <t>Die Generierung des Namenscodes ist mangels Ihrer E-Mail-Adresse nicht möglich. Geben sie ihre E-Mail Adresse ein</t>
  </si>
  <si>
    <t>Det är inte möjligt att generera namnskoden på grund att ditt e-postadress saknas. Ange ditt</t>
  </si>
  <si>
    <t>e-mailadres in bovenaan het werkblad "Groepswedstrijden".</t>
  </si>
  <si>
    <t>address at the top of the "Group competitions" worksheet.</t>
  </si>
  <si>
    <t>Adresse oben auf dem Arbeitsblatt "Gruppenwettbewerbe".</t>
  </si>
  <si>
    <t>e-postadress högst upp i arbetsbladet "Gruppmatchar".</t>
  </si>
  <si>
    <t>Het generen van de naamcode incluslief e-mailadres is niet mogelijk in verband met het ontbreken van</t>
  </si>
  <si>
    <t>Generating the name code including e-mail address is not possible due to the lack of data. Enter</t>
  </si>
  <si>
    <t>Eine Generierung des Namenscodes inklusive E-Mail-Adresse ist aufgrund fehlender Daten nicht möglich. Eingeben</t>
  </si>
  <si>
    <t>Att generera namnskoden inklusive e-postadress är inte möjlig på grund av att data</t>
  </si>
  <si>
    <t>gegevens. Voer uw naam en e-mailadres in bovenaan het werkblad "Groepswedstrijden".</t>
  </si>
  <si>
    <t>your name and e-mail address at the top of the "Group Matches" worksheet.</t>
  </si>
  <si>
    <t>Ihren Namen und Ihre E-Mail-Adresse oben auf dem Arbeitsblatt "Gruppenspiele".</t>
  </si>
  <si>
    <t>saknas. Ange ditt namn och din e-postadress högst upp i arbetsbladet "Gruppmatchar".</t>
  </si>
  <si>
    <t>Bij het genereren van de naamcode is er een fout geconstateerd. Controleer uw naam bovenaan het</t>
  </si>
  <si>
    <t>An error was detected when generating the name code. Check your name at the top of the</t>
  </si>
  <si>
    <t>Beim Generieren des Namenscodes wurde ein Fehler festgestellt. Überprüfen Sie Ihren Namen oben auf dem</t>
  </si>
  <si>
    <t>Ett fel upptäcktes när namnskoden genererades. Kontrollera ditt namn högst upp</t>
  </si>
  <si>
    <t>werkblad "Groepswedstrijden".</t>
  </si>
  <si>
    <t>"Group Matches" worksheet.</t>
  </si>
  <si>
    <t>Arbeitsblatt "Gruppenübereinstimmungen".</t>
  </si>
  <si>
    <t>i arbetsbladet "Gruppmatchar".</t>
  </si>
  <si>
    <t>Bij het genereren van de naamcode is er een fout geconstateerd. Controleer uw e-mailadres bovenaan het</t>
  </si>
  <si>
    <t>An error was detected when generating the name code. Check your e-mail address at the top of</t>
  </si>
  <si>
    <t>Beim Generieren des Namenscodes wurde ein Fehler festgestellt. Überprüfen Sie Ihre E-Mail-Adresse oben auf</t>
  </si>
  <si>
    <t>Ett fel upptäcktes när namnskoden genererades. Kontrollera din e-postadress högst upp</t>
  </si>
  <si>
    <t>Bij het genereren van de naamcode met e-mailadres is er een fout geconstateerd. Controleer uw naam en</t>
  </si>
  <si>
    <t>An error was detected when generating the name code with e-mail address. Check your name</t>
  </si>
  <si>
    <t>Beim Generieren des Namenscodes mit E-Mail-Adresse wurde ein Fehler festgestellt. Überprüfe deinen Namen</t>
  </si>
  <si>
    <t>Ett fel upptäcktes när namnskoden med e-postadressen genererades. Kontrollera ditt namn och</t>
  </si>
  <si>
    <t>e-mailadres bovenaan het werkblad "Groepswedstrijden".</t>
  </si>
  <si>
    <t>and e-mail address at the top of the "Group Matches" worksheet.</t>
  </si>
  <si>
    <t>und E-Mail-Adresse oben auf dem Arbeitsblatt "Gruppenspiele".</t>
  </si>
  <si>
    <t>De naamcode is zonder foutmeldingen gegenereerd.</t>
  </si>
  <si>
    <t>The name code is generated without any errors.</t>
  </si>
  <si>
    <t>Der Namenscode wird fehlerfrei generiert.</t>
  </si>
  <si>
    <t>Namnskoden genererades utan fel.</t>
  </si>
  <si>
    <t>De naamcode inclusief e-mailadres is zonder foutmeldingen gegenereerd.</t>
  </si>
  <si>
    <t>The name code including e-mail address is generated without any errors.</t>
  </si>
  <si>
    <t>Der Namenscode inklusive E-Mail-Adresse wird fehlerfrei generiert.</t>
  </si>
  <si>
    <t>Namnskoden inklusive e-postadress har genererats utan fel.</t>
  </si>
  <si>
    <t>Voorspellingen Groepswedstrijden</t>
  </si>
  <si>
    <t>Predictions Group Matches</t>
  </si>
  <si>
    <t>Vorhersagen Gruppenspiele</t>
  </si>
  <si>
    <t>Förutsägelser Gruppmatcher</t>
  </si>
  <si>
    <t>Het genereren van de deelnamecode voor de groepswedstrijden is niet mogelijk in verband met het ontbreken</t>
  </si>
  <si>
    <t>It is not possible to generate the participation code for the group matches due to the lack of data.</t>
  </si>
  <si>
    <t>Aufgrund fehlender Daten ist es nicht möglich, den Teilnahmecode für die Gruppenspiele zu generieren.</t>
  </si>
  <si>
    <t>Det är inte möjligt att generera deltagarkoden för gruppmatcherna på grund av att data</t>
  </si>
  <si>
    <t>van gegevens. Controleer of alle velden zijn ingevuld op het werkblad "Groepswedstrijden".</t>
  </si>
  <si>
    <t>Check that all fields are filled in on the "Group Matches" worksheet.</t>
  </si>
  <si>
    <t>Überprüfen Sie, ob alle Felder im Arbeitsblatt "Gruppenübereinstimmungen" ausgefüllt sind.</t>
  </si>
  <si>
    <t>saknas. Se till att alla fält är ifyllda i arbetsbladet "Gruppmatchar".</t>
  </si>
  <si>
    <t>Bij het genereren van de deelnamecode voor de groepswedstrijden is er een fout geconstateerd. Controleer uw</t>
  </si>
  <si>
    <t>An error was detected when generating the participation code for the group matches. Check your</t>
  </si>
  <si>
    <t>Beim Generieren des Teilnahmecodes für die Gruppenspiele wurde ein Fehler festgestellt. Überprüfe dein</t>
  </si>
  <si>
    <t>Ett fel upptäcktes när deltagarkoden genererades för gruppmatchningar. Se över</t>
  </si>
  <si>
    <t>invoer op het werkblad "Groepswedstrijden".</t>
  </si>
  <si>
    <t>entry on the "Group Matches" worksheet.</t>
  </si>
  <si>
    <t>Eintrag auf dem Arbeitsblatt "Gruppenspiele".</t>
  </si>
  <si>
    <t>din indata i arbetsbladet "Gruppmatchar".</t>
  </si>
  <si>
    <t>Bij het genereren van de deelnamecode voor de groepswedstrijden zijn er fouten geconstateerd. Controleer uw</t>
  </si>
  <si>
    <t>Errors were found when generating the participation code for the group matches. Check your entry</t>
  </si>
  <si>
    <t>Bei der Generierung des Teilnahmecodes für die Gruppenspiele wurden Fehler gefunden. Überprüfen Sie Ihren Eintrag</t>
  </si>
  <si>
    <t>Fel upptäcktes när deltagarkoden genererades för gruppmatchar. Se över</t>
  </si>
  <si>
    <t>on the "Group Matches" worksheet.</t>
  </si>
  <si>
    <t>auf dem Arbeitsblatt "Gruppenspiele".</t>
  </si>
  <si>
    <t>din data i arbetsbladet "Gruppmatchar".</t>
  </si>
  <si>
    <t>De deelnamecode voor de groepswedstrijden is zonder foutmeldingen gegenereerd.</t>
  </si>
  <si>
    <t>The participation code for the group matches is generated without errors.</t>
  </si>
  <si>
    <t>Der Teilnahmecode für die Gruppenspiele wird fehlerfrei generiert.</t>
  </si>
  <si>
    <t>Deltagarkoden för gruppmatcherna har genererats utan fel.</t>
  </si>
  <si>
    <t>Voorspellingen Eindstand in de Groep</t>
  </si>
  <si>
    <t>Predictions Final Ranking Group Stage</t>
  </si>
  <si>
    <t>Vorhersagen Endgültige Rangliste Gruppenphase</t>
  </si>
  <si>
    <t>Förutsägelser slutranking gruppspel</t>
  </si>
  <si>
    <t>Het genereren van de deelnamecode voor de eindstand in de groep is niet mogelijk in verband met het</t>
  </si>
  <si>
    <t>It is not possible to generate the participation code for the final ranking in the group due to the lack</t>
  </si>
  <si>
    <t>Die Generierung des Teilnahmecodes für die Endrangliste in der Gruppe ist mangels nicht möglich</t>
  </si>
  <si>
    <t xml:space="preserve">Det är inte möjligt att generera deltagarkoden för gruppens slutranking eftersom </t>
  </si>
  <si>
    <t>ontbreken van gegevens. Controleer of alle velden zijn ingevuld op het werkblad "Eindstand Groep".</t>
  </si>
  <si>
    <t>of data. Check whether all fields are filled in on the "Final Ranking Group" worksheet.</t>
  </si>
  <si>
    <t>von Dateien. Prüfen Sie, ob auf dem Arbeitsblatt "Final Ranking Group" alle Felder ausgefüllt sind.</t>
  </si>
  <si>
    <t>data saknas. Kontrollera om alla fält har fyllts i i arbetsbladet "Slutranking grupp".</t>
  </si>
  <si>
    <t>Bij het genereren van de deelnamecode voor de eindstand in de groep is er een fout geconstateerd.</t>
  </si>
  <si>
    <t>An error was detected when generating the participation code for the final ranking in the group.</t>
  </si>
  <si>
    <t>Bei der Generierung des Teilnahmecodes für die Endrangliste in der Gruppe wurde ein Fehler festgestellt.</t>
  </si>
  <si>
    <t>Ett fel upptäcktes när deltagarkoden genererades för slutrankningen i gruppen.</t>
  </si>
  <si>
    <t>Controleer uw invoer op het werkblad "Eindstand Groep".</t>
  </si>
  <si>
    <t>Check your entry on the "Final Ranking Group" worksheet.</t>
  </si>
  <si>
    <t>Überprüfen Sie Ihren Eintrag auf dem Arbeitsblatt "Final Ranking Group".</t>
  </si>
  <si>
    <t>Kontrollera din indata i arbetsbladet "Slutranking grupp".</t>
  </si>
  <si>
    <t>Bij het genereren van de deelnamecode voor de eindstand in de groep zijn er fouten geconstateerd.</t>
  </si>
  <si>
    <t>Errors were found when generating the participation code for the final ranking in the group. Check</t>
  </si>
  <si>
    <t>Beim Generieren des Teilnahmecodes für das endgültige Ranking in der Gruppe wurden Fehler festgestellt. Prüfen</t>
  </si>
  <si>
    <t>Fel hittades vid generering av deltagarkoden för slutrankningen i gruppen.</t>
  </si>
  <si>
    <t>your entry on the "Final Ranking Group" worksheet.</t>
  </si>
  <si>
    <t>Ihren Eintrag auf dem Arbeitsblatt "Final Ranking Group".</t>
  </si>
  <si>
    <t>Kontrollera din  indata i arbetsbladet "Slutranking grupp".</t>
  </si>
  <si>
    <t>De deelnamecode voor de eindstand in de groep is zonder foutmeldingen gegenereerd.</t>
  </si>
  <si>
    <t>The participation code for the final ranking in the group is generated without errors.</t>
  </si>
  <si>
    <t>Der Teilnahmecode für die Endrangliste in der Gruppe wird fehlerfrei generiert.</t>
  </si>
  <si>
    <t>Deltagarkoden för gruppens slutranking har genererats utan fel.</t>
  </si>
  <si>
    <t>Voorspellingen Finalewedstrijden</t>
  </si>
  <si>
    <t>Predictions Final matches</t>
  </si>
  <si>
    <t>Vorhersagen Finale Spiele</t>
  </si>
  <si>
    <t>Förutsägelser slutspelet</t>
  </si>
  <si>
    <t>Het genereren van de deelnamecode voor de finalewedstrijden is niet mogelijk in verband met het ontbreken</t>
  </si>
  <si>
    <t>It is not possible to generate the participation code for the final matches due to the lack of data.</t>
  </si>
  <si>
    <t>Die Generierung des Teilnahmecodes für die Finalspiele ist aufgrund fehlender Daten nicht möglich.</t>
  </si>
  <si>
    <t>Det är inte möjligt att generera deltagarkoden för slutspelets matcherna på grund av att data</t>
  </si>
  <si>
    <t>van gegevens. Controleer of alle velden zijn ingevuld op het werkblad "Finalewedstrijden".</t>
  </si>
  <si>
    <t>Check that all fields are filled in on the "Final Matches" worksheet.</t>
  </si>
  <si>
    <t>Überprüfen Sie, ob alle Felder im Arbeitsblatt "Endgültige Übereinstimmungen" ausgefüllt sind.</t>
  </si>
  <si>
    <t>saknas. Kontrollera att alla fält är ifyllda i arbetsbladet "Slutspel".</t>
  </si>
  <si>
    <t>Bij het genereren van de deelnamecode voor de finalewedstrijden is er een fout geconstateerd. Controleer uw</t>
  </si>
  <si>
    <t>An error was detected when generating the participation code for the final matches. Check your entry</t>
  </si>
  <si>
    <t>Beim Generieren des Teilnahmecodes für die Finalspiele wurde ein Fehler festgestellt. Überprüfen Sie Ihren Eintrag</t>
  </si>
  <si>
    <t>Ett fel upptäcktes när deltagarkoden genererades för slutspelets matcherna. Kontrollera din</t>
  </si>
  <si>
    <t>invoer op het werkblad "Finalewedstrijden".</t>
  </si>
  <si>
    <t>on the "Final Matches" worksheet.</t>
  </si>
  <si>
    <t>auf dem Arbeitsblatt "Final Matches".</t>
  </si>
  <si>
    <t>indata i arbetsbladet "Slutspel".</t>
  </si>
  <si>
    <t>Bij het genereren van de deelnamecode voor de finalewedstrijden zijn er fouten geconstateerd. Controleer uw</t>
  </si>
  <si>
    <t>Errors were found when generating the participation code for the final matches. Check your entry on</t>
  </si>
  <si>
    <t>Bei der Generierung des Teilnahmecodes für die Finalspiele wurden Fehler gefunden. Überprüfen Sie Ihre Eingabe auf</t>
  </si>
  <si>
    <t>Fel upptäcktes under genereringen av deltagarkoden för slutspelets matcherna. Kontrollera din</t>
  </si>
  <si>
    <t>the "Final Matches" worksheet.</t>
  </si>
  <si>
    <t>das Arbeitsblatt "Final Matches".</t>
  </si>
  <si>
    <t>De deelnamecode voor de finalewedstrijden is zonder foutmeldingen gegenereerd.</t>
  </si>
  <si>
    <t>The participation code for the final matches is generated without errors.</t>
  </si>
  <si>
    <t>Der Teilnahmecode für die Finalspiele wird fehlerfrei generiert.</t>
  </si>
  <si>
    <t>Deltagarkoden för slutspelets matcherna har genererats utan fel.</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</si>
  <si>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</si>
  <si>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</si>
  <si>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</si>
  <si>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</si>
  <si>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</si>
  <si>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</si>
  <si>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</si>
  <si>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</si>
  <si>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</si>
  <si>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</si>
  <si>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</si>
  <si>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</si>
  <si>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</si>
  <si>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</si>
  <si>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</si>
  <si>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</si>
  <si>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uw invoer  op het werkblad "Finalewedstrijden".</t>
  </si>
  <si>
    <t>Championship. Check your entry on the "Final Matches" worksheet.</t>
  </si>
  <si>
    <t>Meisterschaft. Überprüfen Sie Ihre Eingabe auf dem Arbeitsblatt "Final Matches".</t>
  </si>
  <si>
    <t>indata i arbetsbladet "Final matcher".</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</si>
  <si>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</si>
  <si>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</si>
  <si>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</si>
  <si>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</si>
  <si>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Bonus questions</t>
  </si>
  <si>
    <t>Het genereren van de deelnamecode voor de bonusvragen is niet mogelijk in verband met het ontbreken</t>
  </si>
  <si>
    <t>It is not possible to generate the participation code for the bonus questions due to the lack of data.</t>
  </si>
  <si>
    <t>Eine Generierung des Teilnahmecodes für die Bonusfragen ist aufgrund fehlender Daten nicht möglich.</t>
  </si>
  <si>
    <t>Att generera deltagarkoden för bonusfrågorna är inte möjlig på grund av att data</t>
  </si>
  <si>
    <t>van gegevens. Controleer of alle velden zijn ingevuld op het werkblad "Bonusvragen".</t>
  </si>
  <si>
    <t>Check if all fields are filled in on the "Bonus Questions" worksheet.</t>
  </si>
  <si>
    <t>Überprüfen Sie, ob alle Felder im Arbeitsblatt "Bonusfragen" ausgefüllt sind.</t>
  </si>
  <si>
    <t>saknas. Kontrollera att alla fält är ifyllda i arbetsbladet "Bonusfrågor".</t>
  </si>
  <si>
    <t>Bij het genereren van de deelnamecode voor de bonusvragen is er een fout geconstateerd. Controleer uw</t>
  </si>
  <si>
    <t>An error was detected when generating the participation code for the bonus questions. Check your</t>
  </si>
  <si>
    <t>Beim Generieren des Teilnahmecodes für die Bonusfragen wurde ein Fehler festgestellt. Überprüfe dein</t>
  </si>
  <si>
    <t>Ett fel upptäcktes när deltagarkoden genererades för bonusfrågorna. Kontrollera</t>
  </si>
  <si>
    <t>invoer op het werkblad "Bonusvragen".</t>
  </si>
  <si>
    <t>entry on the "Bonus Questions" worksheet.</t>
  </si>
  <si>
    <t>Eintrag auf dem Arbeitsblatt "Bonusfragen".</t>
  </si>
  <si>
    <t>indata i arbetsbladet "Bonusfrågor".</t>
  </si>
  <si>
    <t>Bij het genereren van de deelnamecode voor de bonusvragen zijn er fouten geconstateerd. Controleer uw</t>
  </si>
  <si>
    <t>Errors were found when generating the participation code for the bonus questions. Check your entry</t>
  </si>
  <si>
    <t>Bei der Generierung des Teilnahmecodes für die Bonusfragen wurden Fehler gefunden. Überprüfen Sie Ihren Eintrag</t>
  </si>
  <si>
    <t>Fel upptäcktes under genereringen av deltagarkoden för bonusfrågorna. Kontrollera din</t>
  </si>
  <si>
    <t>on the "Bonus Questions" worksheet.</t>
  </si>
  <si>
    <t>auf dem Arbeitsblatt "Bonusfragen".</t>
  </si>
  <si>
    <t>De deelnamecode voor de bonusvragen is zonder foutmeldingen gegenereerd.</t>
  </si>
  <si>
    <t>The participation code for the bonus questions is generated without errors.</t>
  </si>
  <si>
    <t>Der Teilnahmecode für die Bonusfragen wird fehlerfrei generiert.</t>
  </si>
  <si>
    <t>Deltagarkoden för bonusfrågorna har genererats utan fel.</t>
  </si>
  <si>
    <t>Er zijn onvoldoende teams geselecteerd om een deelnamecode te genereren.</t>
  </si>
  <si>
    <t>Not enough teams have been selected to generate an participation code.</t>
  </si>
  <si>
    <t>Es wurden nicht genügend Teams ausgewählt, um einen Teilnahmecode zu generieren.</t>
  </si>
  <si>
    <t>Inte tillräckligt många lag valdes ut för att generera en inträdeskod.</t>
  </si>
  <si>
    <t>Er zijn teveel teams geselecteerd om een deelnamecode te genereren.</t>
  </si>
  <si>
    <t>Too many teams have been selected to generate an participation code.</t>
  </si>
  <si>
    <t>Es wurden zu viele Teams ausgewählt, um einen Teilnahmecode zu generieren.</t>
  </si>
  <si>
    <t>För många lag har valts ut för att generera en anmälningskod.</t>
  </si>
  <si>
    <t>Controleer het aantal geselecteerde teams op het werkblad "Teams".</t>
  </si>
  <si>
    <t>Check the number of selected teams on the "Teams" worksheet.</t>
  </si>
  <si>
    <t>Überprüfen Sie die Anzahl der ausgewählten Teams auf dem Arbeitsblatt "Teams".</t>
  </si>
  <si>
    <t>Kontrollera antalet utvalda lag på arbetsbladet Teams.</t>
  </si>
  <si>
    <t>Bij het genereren van de deelnamecode voor de teams is er een fout geconstateerd.</t>
  </si>
  <si>
    <t>An error was detected while generating the participation code for the teams.</t>
  </si>
  <si>
    <t>Beim Generieren des Teilnahmecodes für die Teams wurde ein Fehler festgestellt.</t>
  </si>
  <si>
    <t>Ett fel upptäcktes när deltagarkoden genererades för lagen.</t>
  </si>
  <si>
    <t>Controleer uw selectie van de  teams op het werkblad "Teams".</t>
  </si>
  <si>
    <t>Check your selection of teams on the "Teams" worksheet.</t>
  </si>
  <si>
    <t>Überprüfen Sie Ihre Auswahl an Teams auf dem Arbeitsblatt "Teams".</t>
  </si>
  <si>
    <t>Granska ditt urval av lag på arbetsbladet Teams.</t>
  </si>
  <si>
    <t>Er zijn voldoende teams geselecteerd om een deelnamecode te genereren.</t>
  </si>
  <si>
    <t>Sufficient teams have been selected to generate an participation code.</t>
  </si>
  <si>
    <t>Es wurden genügend Teams ausgewählt, um einen Teilnahmecode zu generieren.</t>
  </si>
  <si>
    <t>Tillräckligt med lag har valts ut för att generera en startkod.</t>
  </si>
  <si>
    <t>In het onderstaande veld zal uw deelnamecode gegenereerd worden als alle velden volledig en goed zijn ingevuld.</t>
  </si>
  <si>
    <t>In the field below, your participation code will be generated if all fields are filled in completely and correctly.</t>
  </si>
  <si>
    <t>Im unteren Feld wird Ihr Teilnahmecode generiert, wenn alle Felder vollständig und richtig ausgefüllt sind.</t>
  </si>
  <si>
    <t>I fältet nedan genereras din deltagarkod när alla fält har fyllts i helt och korrekt.</t>
  </si>
  <si>
    <t>De deelnamecode kan niet worden gegenereerd door het ontbreken van gegevens of foutieve waarden. Het gaat om het volgende onderdeel</t>
  </si>
  <si>
    <t>The entry code cannot be generated due to lack of data or incorrect values. It involves the following input field</t>
  </si>
  <si>
    <t>Der Zugangscode kann aufgrund fehlender Daten oder falscher Werte nicht generiert werden. Es handelt sich um das folgende Eingabefeld</t>
  </si>
  <si>
    <t>Deltagarkoden kan inte genereras på grund av att data saknas eller är felaktig. Detta gäller för följande del</t>
  </si>
  <si>
    <t>De deelnamecode kan niet worden gegenereerd door het ontbreken van gegevens of foutieve waarden. Het gaat om de volgende onderdelen</t>
  </si>
  <si>
    <t>The entry code cannot be generated due to lack of data or incorrect values. It concerns the following input fields</t>
  </si>
  <si>
    <t>Der Zugangscode kann aufgrund fehlender Daten oder falscher Werte nicht generiert werden. Es handelt sich um folgende Eingabefelder</t>
  </si>
  <si>
    <t>Deltagarkoden kan inte genereras på grund av data saknas eller är felaktig. Detta gäller följande delar</t>
  </si>
  <si>
    <t>De deelnamecode kan niet worden gegenereerd door het ontbreken van het reglement. Vraag uw organisator om het reglement toe te voegen aan uw deelname formulier.</t>
  </si>
  <si>
    <t>The participation code cannot be generated due to the absence of the rules. Ask your organizer to add the rules to your participation form.</t>
  </si>
  <si>
    <t>Der Teilnahmecode kann mangels Regeln nicht generiert werden. Bitten Sie Ihren Organisator, die Regeln zu Ihrem Teilnahmeformular hinzuzufügen.</t>
  </si>
  <si>
    <t>Deltagarkoden kan inte genereras på grund av avsaknaden av reglerna. Be din arrangör lägga till reglerna i ditt deltagandeformulär.</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</si>
  <si>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</si>
  <si>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</si>
  <si>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</si>
  <si>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</si>
  <si>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</si>
  <si>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</si>
  <si>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</si>
  <si>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</si>
  <si>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</si>
  <si>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</si>
  <si>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</si>
  <si>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Selecteer uit onderstaande lijst één of meerdere teams waar u als deelnemer toe behoort op basis van de omschrijving.</t>
  </si>
  <si>
    <t>Select from the list below one or more teams to which you belong as a participant, based on the description.</t>
  </si>
  <si>
    <t>Wählen Sie aus der Liste unten ein oder mehrere Teams aus, denen Sie als Teilnehmer angehören, basierend auf der Beschreibung.</t>
  </si>
  <si>
    <t>Välj från listan nedan ett eller flera lag som du tillhör som deltagare, baserat på beskrivningen.</t>
  </si>
  <si>
    <t>Selecteer uit onderstaander lijst minimaal $$$ @@@ waar u als deelnemer toe behoort op basis van de omschrijving.</t>
  </si>
  <si>
    <t>Select at least $$$ @@@ from the list below to which you as a participant belong based on the description.</t>
  </si>
  <si>
    <t>Wählen Sie aus der Liste unten mindestens $$$ @@@ aus, zu der Sie als Teilnehmer anhand der Beschreibung gehören.</t>
  </si>
  <si>
    <t>Välj minst $$$ @@@ från listan nedan som du som deltagare tillhör utifrån beskrivningen.</t>
  </si>
  <si>
    <t>Selecteer uit onderstaander lijst maximaal ### @@@ waar u als deelnemer toe behoort op basis van de omschrijving.</t>
  </si>
  <si>
    <t>Select a maximum of ### @@@ from the list below to which you belong as a participant, based on the description.</t>
  </si>
  <si>
    <t>Wählen Sie aus der unten stehenden Liste maximal ### @@@ aus, zu denen Sie anhand der Beschreibung als Teilnehmer gehören.</t>
  </si>
  <si>
    <t>Välj max ### @@@ från listan nedan som du tillhör som deltagare, baserat på beskrivningen.</t>
  </si>
  <si>
    <t>Selecteer uit onderstaande lijst minimaal $$$, maximaal ### @@@ waar u als deelnemer toe behoort op basis van de omschrijving.</t>
  </si>
  <si>
    <t>Select from the list below a minimum of $$$, a maximum of ### @@@ to which you belong as a participant, based on the description.</t>
  </si>
  <si>
    <t>Wählen Sie aus der Liste unten mindestens $$$, höchstens ### @@@ aus, zu der Sie als Teilnehmer gehören, basierend auf der Beschreibung.</t>
  </si>
  <si>
    <t>Välj från listan nedan ett minimum av $$$, högst ### @@@ som du tillhör som deltagare, baserat på beskrivningen.</t>
  </si>
  <si>
    <t>Selecteer uit onderstaande lijst $$$ @@@ waar u als deelnemer toe behoort op basis van de omschrijving.</t>
  </si>
  <si>
    <t>Select from the list below $$$ @@@ where you belong as a participant based on the description.</t>
  </si>
  <si>
    <t>Wählen Sie aus der Liste unten $$$ @@@ aus, wohin Sie als Teilnehmer anhand der Beschreibung gehören.</t>
  </si>
  <si>
    <t>Välj från listan nedan $$$ @@@ var du som deltagare hör hemma utifrån beskrivningen.</t>
  </si>
  <si>
    <t>één</t>
  </si>
  <si>
    <t>one</t>
  </si>
  <si>
    <t>ein</t>
  </si>
  <si>
    <t>ett</t>
  </si>
  <si>
    <t>twee</t>
  </si>
  <si>
    <t>two</t>
  </si>
  <si>
    <t>zwei</t>
  </si>
  <si>
    <t>två</t>
  </si>
  <si>
    <t>drie</t>
  </si>
  <si>
    <t>three</t>
  </si>
  <si>
    <t>drei</t>
  </si>
  <si>
    <t>tre</t>
  </si>
  <si>
    <t>vier</t>
  </si>
  <si>
    <t>four</t>
  </si>
  <si>
    <t>fyra</t>
  </si>
  <si>
    <t>vijf</t>
  </si>
  <si>
    <t>five</t>
  </si>
  <si>
    <t>fünf</t>
  </si>
  <si>
    <t>fem</t>
  </si>
  <si>
    <t>zes</t>
  </si>
  <si>
    <t>six</t>
  </si>
  <si>
    <t>sechs</t>
  </si>
  <si>
    <t>sex</t>
  </si>
  <si>
    <t>zeven</t>
  </si>
  <si>
    <t>seven</t>
  </si>
  <si>
    <t>Sieben</t>
  </si>
  <si>
    <t>sju</t>
  </si>
  <si>
    <t>acht</t>
  </si>
  <si>
    <t>eight</t>
  </si>
  <si>
    <t>åtta</t>
  </si>
  <si>
    <t>negen</t>
  </si>
  <si>
    <t>nine</t>
  </si>
  <si>
    <t>neun</t>
  </si>
  <si>
    <t>nio</t>
  </si>
  <si>
    <t>tien</t>
  </si>
  <si>
    <t>ten</t>
  </si>
  <si>
    <t>zehn</t>
  </si>
  <si>
    <t>tio</t>
  </si>
  <si>
    <t>elf</t>
  </si>
  <si>
    <t>Elf</t>
  </si>
  <si>
    <t>älva</t>
  </si>
  <si>
    <t>twaalf</t>
  </si>
  <si>
    <t>twelve</t>
  </si>
  <si>
    <t>zwölf</t>
  </si>
  <si>
    <t>tolv</t>
  </si>
  <si>
    <t>dertien</t>
  </si>
  <si>
    <t>thirteen</t>
  </si>
  <si>
    <t>dreizehn</t>
  </si>
  <si>
    <t>tretton</t>
  </si>
  <si>
    <t>veertien</t>
  </si>
  <si>
    <t>fourteen</t>
  </si>
  <si>
    <t>vierzehn</t>
  </si>
  <si>
    <t>fjorton</t>
  </si>
  <si>
    <t>vijftien</t>
  </si>
  <si>
    <t>fifteen</t>
  </si>
  <si>
    <t>fünfzehn</t>
  </si>
  <si>
    <t>femton</t>
  </si>
  <si>
    <t>zestien</t>
  </si>
  <si>
    <t>sixteen</t>
  </si>
  <si>
    <t>sechzehn</t>
  </si>
  <si>
    <t>sexton</t>
  </si>
  <si>
    <t>zeventien</t>
  </si>
  <si>
    <t>seventeen</t>
  </si>
  <si>
    <t>siebzehn</t>
  </si>
  <si>
    <t>sjutton</t>
  </si>
  <si>
    <t>achting</t>
  </si>
  <si>
    <t>esteem</t>
  </si>
  <si>
    <t>Wertschätzung</t>
  </si>
  <si>
    <t>aktning</t>
  </si>
  <si>
    <t>negentien</t>
  </si>
  <si>
    <t>nineteen</t>
  </si>
  <si>
    <t>neunzehn</t>
  </si>
  <si>
    <t>nitton</t>
  </si>
  <si>
    <t>twintig</t>
  </si>
  <si>
    <t>twenty</t>
  </si>
  <si>
    <t>zwanzig</t>
  </si>
  <si>
    <t>tjugo</t>
  </si>
  <si>
    <t>team</t>
  </si>
  <si>
    <t>Team</t>
  </si>
  <si>
    <t>lag</t>
  </si>
  <si>
    <t>teams</t>
  </si>
  <si>
    <t>team selecteren</t>
  </si>
  <si>
    <t>select team</t>
  </si>
  <si>
    <t>Team auswählen</t>
  </si>
  <si>
    <t>Välj lag</t>
  </si>
  <si>
    <t>ja</t>
  </si>
  <si>
    <t>yes</t>
  </si>
  <si>
    <t>nee</t>
  </si>
  <si>
    <t>no</t>
  </si>
  <si>
    <t>nein</t>
  </si>
  <si>
    <t>nej</t>
  </si>
  <si>
    <t>Er zijn onvoldoende teams geselecteerd.</t>
  </si>
  <si>
    <t>Not enough teams have been selected.</t>
  </si>
  <si>
    <t>Es wurden nicht genügend Teams ausgewählt.</t>
  </si>
  <si>
    <t>Inte tillräckligt många lag har valts ut.</t>
  </si>
  <si>
    <t>Er zijn voldoende teams geselecteerd.</t>
  </si>
  <si>
    <t>Sufficient teams have been selected.</t>
  </si>
  <si>
    <t>Es wurden genügend Teams ausgewählt.</t>
  </si>
  <si>
    <t>Tillräckligt med lag har valts ut.</t>
  </si>
  <si>
    <t>Er zijn meer teams geselecteerd dan toegestaan.</t>
  </si>
  <si>
    <t>More teams have been selected than allowed.</t>
  </si>
  <si>
    <t>Es wurden mehr Teams ausgewählt als erlaubt.</t>
  </si>
  <si>
    <t>Fler lag har valts ut än tillåtet.</t>
  </si>
  <si>
    <t>Zie volgende pagina voor de overige teams.</t>
  </si>
  <si>
    <t>See next page for the other teams.</t>
  </si>
  <si>
    <t>Siehe nächste Seite für die anderen Teams.</t>
  </si>
  <si>
    <t>Se nästa sida för de andra lagen.</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</si>
  <si>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</si>
  <si>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</si>
  <si>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</si>
  <si>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</si>
  <si>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A255255255</t>
  </si>
  <si>
    <t>B000080160</t>
  </si>
  <si>
    <t>C150200250</t>
  </si>
  <si>
    <t>D000080160</t>
  </si>
  <si>
    <t>E000080160</t>
  </si>
  <si>
    <t>Herkenningcode</t>
  </si>
  <si>
    <t>:</t>
  </si>
  <si>
    <t>4mu89yl7NlLwpeUTczohs7HF</t>
  </si>
  <si>
    <t>oDmOXBsF5UhTPdDbZMwyyq2n</t>
  </si>
  <si>
    <t xml:space="preserve">Versie: </t>
  </si>
  <si>
    <t xml:space="preserve">Bestand: </t>
  </si>
  <si>
    <t>CODE</t>
  </si>
  <si>
    <t>LAND</t>
  </si>
  <si>
    <t>AFKORTING</t>
  </si>
  <si>
    <t>Weergave</t>
  </si>
  <si>
    <t>alles</t>
  </si>
  <si>
    <t>(alles / benodigd / deelnemer)</t>
  </si>
  <si>
    <t xml:space="preserve">Reglement aanwezig: </t>
  </si>
  <si>
    <t>Wachtwoord</t>
  </si>
  <si>
    <t xml:space="preserve">Aantal deelnemers: </t>
  </si>
  <si>
    <t>nvt</t>
  </si>
  <si>
    <t>A1</t>
  </si>
  <si>
    <t>B4</t>
  </si>
  <si>
    <t>åß©þæ¥çµ®×ñø</t>
  </si>
  <si>
    <t>Aantal tussenrijen:</t>
  </si>
  <si>
    <t>A2</t>
  </si>
  <si>
    <t>SC</t>
  </si>
  <si>
    <t>D3</t>
  </si>
  <si>
    <t>Prijzengeld</t>
  </si>
  <si>
    <t>Eerste rij:</t>
  </si>
  <si>
    <t>A3</t>
  </si>
  <si>
    <t>HU</t>
  </si>
  <si>
    <t>E1</t>
  </si>
  <si>
    <t>Laatste rij:</t>
  </si>
  <si>
    <t>A4</t>
  </si>
  <si>
    <t>CH</t>
  </si>
  <si>
    <t>Voetregel:</t>
  </si>
  <si>
    <t>B1</t>
  </si>
  <si>
    <t>ES</t>
  </si>
  <si>
    <t>F4</t>
  </si>
  <si>
    <t>Type document:</t>
  </si>
  <si>
    <t>B2</t>
  </si>
  <si>
    <t>HR</t>
  </si>
  <si>
    <t xml:space="preserve">LibFileTools toepassen bij macro's om de pool </t>
  </si>
  <si>
    <t>B3</t>
  </si>
  <si>
    <t>IT</t>
  </si>
  <si>
    <t>C2</t>
  </si>
  <si>
    <t>geschikt te maken voor OneDrive/Sharepoint</t>
  </si>
  <si>
    <t>1 = ja, leeg/0 = nee</t>
  </si>
  <si>
    <t>AL</t>
  </si>
  <si>
    <t>C1</t>
  </si>
  <si>
    <t>SI</t>
  </si>
  <si>
    <t>D4</t>
  </si>
  <si>
    <t>DK</t>
  </si>
  <si>
    <t>C4</t>
  </si>
  <si>
    <t>C3</t>
  </si>
  <si>
    <t>RS</t>
  </si>
  <si>
    <t>F2</t>
  </si>
  <si>
    <t>GB</t>
  </si>
  <si>
    <t>D1</t>
  </si>
  <si>
    <t>PL</t>
  </si>
  <si>
    <t>D2</t>
  </si>
  <si>
    <t>NL</t>
  </si>
  <si>
    <t>AT</t>
  </si>
  <si>
    <t>FR</t>
  </si>
  <si>
    <t>BE</t>
  </si>
  <si>
    <t>F3</t>
  </si>
  <si>
    <t>E2</t>
  </si>
  <si>
    <t>SK</t>
  </si>
  <si>
    <t>E3</t>
  </si>
  <si>
    <t>a</t>
  </si>
  <si>
    <t>RO</t>
  </si>
  <si>
    <t>E4</t>
  </si>
  <si>
    <t>UA</t>
  </si>
  <si>
    <t>F1</t>
  </si>
  <si>
    <t>TR</t>
  </si>
  <si>
    <t>GE</t>
  </si>
  <si>
    <t>PT</t>
  </si>
  <si>
    <t>CZ</t>
  </si>
  <si>
    <t>G1</t>
  </si>
  <si>
    <t>ZA</t>
  </si>
  <si>
    <t>G2</t>
  </si>
  <si>
    <t>ZB</t>
  </si>
  <si>
    <t>G3</t>
  </si>
  <si>
    <t>ZC</t>
  </si>
  <si>
    <t>G4</t>
  </si>
  <si>
    <t>ZD</t>
  </si>
  <si>
    <t>H1</t>
  </si>
  <si>
    <t>ZE</t>
  </si>
  <si>
    <t>x</t>
  </si>
  <si>
    <t>H2</t>
  </si>
  <si>
    <t>ZF</t>
  </si>
  <si>
    <t>y</t>
  </si>
  <si>
    <t>H3</t>
  </si>
  <si>
    <t>ZG</t>
  </si>
  <si>
    <t>z</t>
  </si>
  <si>
    <t>H4</t>
  </si>
  <si>
    <t>ZH</t>
  </si>
  <si>
    <t>SORTEREN OP CODE</t>
  </si>
  <si>
    <t>SORTEREN OP LAND</t>
  </si>
  <si>
    <t>SORTEREN OP AFKORTING</t>
  </si>
  <si>
    <t>|dh|E150614|10#624|Jamilo*#EK-pool|Jamilo|info@jamilo.nl||DD|P|##|##|500|5000|3000|2000|||||30|22|#0|16|10|#4|#5|#3|#1|##|X##|X##|X##|BANA|</t>
  </si>
  <si>
    <t>inleverdatum</t>
  </si>
  <si>
    <t>inlegsysteem</t>
  </si>
  <si>
    <t>persoonlijk inleveren</t>
  </si>
  <si>
    <t>inleveren via de mail</t>
  </si>
  <si>
    <t>wel of geen inleg systeem</t>
  </si>
  <si>
    <t>wel of niet meerdere deelnames</t>
  </si>
  <si>
    <t>90min. Of verlenging</t>
  </si>
  <si>
    <t>www.excel-pool.nl</t>
  </si>
  <si>
    <t>©2024 Eric de Jong v24.00dh</t>
  </si>
  <si>
    <t>Instellingen voor het reglement :</t>
  </si>
  <si>
    <t>Inlegsysteem (1=JA, 0=NEE)</t>
  </si>
  <si>
    <t>Kolombreedte van kolom P = 0,08</t>
  </si>
  <si>
    <t>GELDIGE CODE (1=JA, 0=NEE)</t>
  </si>
  <si>
    <t xml:space="preserve">De Code: </t>
  </si>
  <si>
    <t>CEL P3 IS NIET LEEG</t>
  </si>
  <si>
    <t>Deel 1, de regels:</t>
  </si>
  <si>
    <t>EERSTE TEKEN IN CL P3 IS "|"</t>
  </si>
  <si>
    <t>Deel 2, de inleg:</t>
  </si>
  <si>
    <t>LAATSTE TEKEN IN CL P3 IS "|" OF "}"</t>
  </si>
  <si>
    <t>Deel 3, de punten:</t>
  </si>
  <si>
    <t>TYPE REGLEMENTCODE</t>
  </si>
  <si>
    <t>TYPE BESTAND</t>
  </si>
  <si>
    <t>Deel 1, de regels ontleden:</t>
  </si>
  <si>
    <t>Type reglementcode</t>
  </si>
  <si>
    <t>E-mail adres verplicht</t>
  </si>
  <si>
    <t>Deel 4, bonusvragen:</t>
  </si>
  <si>
    <t>Tussentijds updaten</t>
  </si>
  <si>
    <t>Meerdere keren deelnemen aan de poule</t>
  </si>
  <si>
    <t>deelnamecode is</t>
  </si>
  <si>
    <t>Eindstand finalewedstrijden na 90min. of verlenging</t>
  </si>
  <si>
    <t>toegestaan</t>
  </si>
  <si>
    <t>Maakt gebruik van Inleg Systeem</t>
  </si>
  <si>
    <t>Open vraag juist</t>
  </si>
  <si>
    <t>Datum voor inleveren (DD-MM-YY)</t>
  </si>
  <si>
    <t>2e open vraag</t>
  </si>
  <si>
    <t>Naam pool</t>
  </si>
  <si>
    <t>Benaderingsvraag juist</t>
  </si>
  <si>
    <t>Naam beheerder</t>
  </si>
  <si>
    <t>Beoordeling benaderingsvragen</t>
  </si>
  <si>
    <t>E-mail beheerder</t>
  </si>
  <si>
    <t>Spreiding</t>
  </si>
  <si>
    <t>Deel 2, de inleg ontleden:</t>
  </si>
  <si>
    <t>Inleg via bankoverschrijving</t>
  </si>
  <si>
    <t>Stelling juist</t>
  </si>
  <si>
    <t>Deel van inleg naar …</t>
  </si>
  <si>
    <t>Eerste stelling</t>
  </si>
  <si>
    <t>Deelname zonder</t>
  </si>
  <si>
    <t>Tweede stelling</t>
  </si>
  <si>
    <t>inleg toegestaan</t>
  </si>
  <si>
    <t>Derde stelling</t>
  </si>
  <si>
    <t>Vierde stelling</t>
  </si>
  <si>
    <t>goede doel</t>
  </si>
  <si>
    <t>Vijfde stelling</t>
  </si>
  <si>
    <t>deel inleg</t>
  </si>
  <si>
    <t>Euro's of Procenten</t>
  </si>
  <si>
    <t>Troostprijzen</t>
  </si>
  <si>
    <t>Poedelprijzen</t>
  </si>
  <si>
    <t>Inleg</t>
  </si>
  <si>
    <t>Plaats 1</t>
  </si>
  <si>
    <t>Plaats 2</t>
  </si>
  <si>
    <t>Plaats 3</t>
  </si>
  <si>
    <t>Plaats 4</t>
  </si>
  <si>
    <t>Plaats 5</t>
  </si>
  <si>
    <t>Plaats 6</t>
  </si>
  <si>
    <t>Plaats 7</t>
  </si>
  <si>
    <t>Plaats 8</t>
  </si>
  <si>
    <t>Plaats 9</t>
  </si>
  <si>
    <t>Plaats 10</t>
  </si>
  <si>
    <t>Deel 3, de punten ontleden:</t>
  </si>
  <si>
    <t>Winnaar juist</t>
  </si>
  <si>
    <t>Finalist juist</t>
  </si>
  <si>
    <t>d# t/m g#</t>
  </si>
  <si>
    <t>NEE</t>
  </si>
  <si>
    <t>Troostfinale aanwezig</t>
  </si>
  <si>
    <t>Troostfinalist juist</t>
  </si>
  <si>
    <t>volledige uitslag in de groep voorspellen</t>
  </si>
  <si>
    <t>1/2 Finalist juist</t>
  </si>
  <si>
    <t>h# t/m k#</t>
  </si>
  <si>
    <t>1/4 Finalist juist</t>
  </si>
  <si>
    <t>enkel TOTO in de groep voorspellen</t>
  </si>
  <si>
    <t>1/8 Finalist juist</t>
  </si>
  <si>
    <t>d# en e#</t>
  </si>
  <si>
    <t>Groepsfase juist</t>
  </si>
  <si>
    <t>volledige uitslag + landen in de finale wedstrijden voorspellen</t>
  </si>
  <si>
    <t>TOTO juist</t>
  </si>
  <si>
    <t>h# en i#</t>
  </si>
  <si>
    <t>Eindstand juist</t>
  </si>
  <si>
    <t>TOTO + landen in de finale wedstrijden voorspellen</t>
  </si>
  <si>
    <t>Aftrek Verschil eindstand</t>
  </si>
  <si>
    <t>f#, g#, j# en k#</t>
  </si>
  <si>
    <t>Bonusvraag 1</t>
  </si>
  <si>
    <t>alleen landen in de finale wedstrijden voorspellen</t>
  </si>
  <si>
    <t>Bonusvraag 2</t>
  </si>
  <si>
    <t>d#, f#, h# en j#</t>
  </si>
  <si>
    <t>Bonusvraag 3</t>
  </si>
  <si>
    <t>eindstand in de groep voorspellen</t>
  </si>
  <si>
    <t>deel van de punten indien het land niet op de juiste plek staat.</t>
  </si>
  <si>
    <t>#d t/m #g</t>
  </si>
  <si>
    <t>punten TOTO bij Finalewedstrijden</t>
  </si>
  <si>
    <t>inclusief bonusvragen</t>
  </si>
  <si>
    <t>TOTO juist voor punten eindstand</t>
  </si>
  <si>
    <t>#d, #e, #h en i#</t>
  </si>
  <si>
    <t>punten Eindstand bij Finalewedstrijden</t>
  </si>
  <si>
    <t>inclusief het inlegsysteem</t>
  </si>
  <si>
    <t>Score Groepswedstrijden</t>
  </si>
  <si>
    <t>#d, #f, #h en #j</t>
  </si>
  <si>
    <t>TOTO Groepswedstrijden</t>
  </si>
  <si>
    <t>Beide landen juist bij finalewedstrijden</t>
  </si>
  <si>
    <t>EXCEL invulversie</t>
  </si>
  <si>
    <t>Beide landen en de toto juist bij de finalewedstrijden</t>
  </si>
  <si>
    <t>#e, #g, #i en #k</t>
  </si>
  <si>
    <t>TOTO Finalewedstrijden</t>
  </si>
  <si>
    <t>TOTO en eindstand juist bij groeps- en finalewedstrijden</t>
  </si>
  <si>
    <t>PDF invulversie</t>
  </si>
  <si>
    <t>Score Finalewedstrijden</t>
  </si>
  <si>
    <t>TOTO en eindstand juist bij goepswedstrijden</t>
  </si>
  <si>
    <t>TOTO en eindstand juist bij groeps- en finalewedstrijden (+ landen bij finales)</t>
  </si>
  <si>
    <t>Versie van de pool</t>
  </si>
  <si>
    <t>(0 = BETA, 1 = DEMO, 2 = RELEASE, 3 = PREVIEW)</t>
  </si>
  <si>
    <t>(reglement aanwezig)</t>
  </si>
  <si>
    <t>(1 = wel inleg, ""=geen inleg)</t>
  </si>
  <si>
    <t>(de inleg)</t>
  </si>
  <si>
    <t>(deelname zonder inleg is toegestaan)</t>
  </si>
  <si>
    <t>(A = contant, B = bank, C = beide)</t>
  </si>
  <si>
    <t>(bank rekening nummer)</t>
  </si>
  <si>
    <t>(ter name van)</t>
  </si>
  <si>
    <t>(onder vermelding van)</t>
  </si>
  <si>
    <t>(A,B,C = JA, D = NEE)</t>
  </si>
  <si>
    <t>(1=euro's, 2=procenten)</t>
  </si>
  <si>
    <t>(1=wel prijs, ""=geen prijs)</t>
  </si>
  <si>
    <t>(troostprijzen)</t>
  </si>
  <si>
    <t>(poedelprijzen)</t>
  </si>
  <si>
    <t>(deelname zonder inleg)</t>
  </si>
  <si>
    <t>Indien gewenst kunnen regels 10 t/m 39 en 57 t/m 83 verborgen  d.m.v. macro. Criteria hiervoor is of de betreffende regel in kolom A de waarde "H" bevat.</t>
  </si>
  <si>
    <t>Regel 57 t/m 83 t.b.v. lege regels (59 regels zichtbaar)</t>
  </si>
  <si>
    <t>betaling voor start toernooi</t>
  </si>
  <si>
    <t>lege regel</t>
  </si>
  <si>
    <t>betaling inleg</t>
  </si>
  <si>
    <t>rekening nummer</t>
  </si>
  <si>
    <t>nr. 1</t>
  </si>
  <si>
    <t>nr. 2</t>
  </si>
  <si>
    <t>nr. 3</t>
  </si>
  <si>
    <t>nr. 4</t>
  </si>
  <si>
    <t>nr. 5</t>
  </si>
  <si>
    <t>nr. 6</t>
  </si>
  <si>
    <t>nr. 7</t>
  </si>
  <si>
    <t>nr. 8</t>
  </si>
  <si>
    <t>nr. 9</t>
  </si>
  <si>
    <t>nr. 10</t>
  </si>
  <si>
    <t>troostprijzen</t>
  </si>
  <si>
    <t>poedelprijzen</t>
  </si>
  <si>
    <t>deelname zonder inleg</t>
  </si>
  <si>
    <t>#d en #h</t>
  </si>
  <si>
    <t>Wijze van betaling inleg.</t>
  </si>
  <si>
    <t>Deel van de inleg naar …</t>
  </si>
  <si>
    <t>deel van de inleg</t>
  </si>
  <si>
    <t>Naamcode</t>
  </si>
  <si>
    <t>0. punten in groep</t>
  </si>
  <si>
    <t>EINDSTAND GROEP</t>
  </si>
  <si>
    <t>1. punten onderling</t>
  </si>
  <si>
    <t>Naam Zonder Spaties :</t>
  </si>
  <si>
    <t>Con. Naam</t>
  </si>
  <si>
    <t>Code</t>
  </si>
  <si>
    <t>Codelengte</t>
  </si>
  <si>
    <t>2. doelsaldo onderling</t>
  </si>
  <si>
    <t>Naam Lengte :</t>
  </si>
  <si>
    <t>tip: het programma van het vorige EK / WK (4 jaar geleden) is praktisch identiek</t>
  </si>
  <si>
    <t>3. doelpunten voor onderling</t>
  </si>
  <si>
    <t>c.schalks@bisbee.nl</t>
  </si>
  <si>
    <t>Naam Code :</t>
  </si>
  <si>
    <t>5. doelsaldo groep</t>
  </si>
  <si>
    <t>Naam Controle :</t>
  </si>
  <si>
    <t>6. doelpunten voor groep</t>
  </si>
  <si>
    <t>Afkorting</t>
  </si>
  <si>
    <t>Doelpunten +</t>
  </si>
  <si>
    <t>Doelpunten -</t>
  </si>
  <si>
    <t>Volgorde</t>
  </si>
  <si>
    <t>Rang</t>
  </si>
  <si>
    <t>DEELNAMECODE GROEPSWEDSTRIJDEN</t>
  </si>
  <si>
    <t>Wedstrijden</t>
  </si>
  <si>
    <t>Chronologisch</t>
  </si>
  <si>
    <t>01</t>
  </si>
  <si>
    <t>kies een land</t>
  </si>
  <si>
    <t>02</t>
  </si>
  <si>
    <t>03</t>
  </si>
  <si>
    <t>Totale lengte van de groepscode ---&gt;</t>
  </si>
  <si>
    <t>04</t>
  </si>
  <si>
    <t>07</t>
  </si>
  <si>
    <t>Controle groepscode  :</t>
  </si>
  <si>
    <t>06</t>
  </si>
  <si>
    <t>Alles gespeeld</t>
  </si>
  <si>
    <t>BRONGEGEVENS VOOR BONUSVRAGEN</t>
  </si>
  <si>
    <t>05</t>
  </si>
  <si>
    <t>A-B</t>
  </si>
  <si>
    <t>C-D</t>
  </si>
  <si>
    <t>E-F</t>
  </si>
  <si>
    <t>G-H</t>
  </si>
  <si>
    <t>TOTAAL</t>
  </si>
  <si>
    <t>Meeste</t>
  </si>
  <si>
    <t>winst/verlies</t>
  </si>
  <si>
    <t>doelpunten in</t>
  </si>
  <si>
    <t>09</t>
  </si>
  <si>
    <t>gelijkspel</t>
  </si>
  <si>
    <t>één wedstrijd</t>
  </si>
  <si>
    <t>08</t>
  </si>
  <si>
    <t>Reglement aanwezig? (0 = Nee, 1 = Ja) --&gt;</t>
  </si>
  <si>
    <t>↓</t>
  </si>
  <si>
    <t>Sco. Thuis</t>
  </si>
  <si>
    <t>Sco. Uit</t>
  </si>
  <si>
    <t>-</t>
  </si>
  <si>
    <t>H</t>
  </si>
  <si>
    <t>BEPALEN GROEPSWINNAARS</t>
  </si>
  <si>
    <t>Ingevuld</t>
  </si>
  <si>
    <t>Punten nr.1</t>
  </si>
  <si>
    <t>Punten nr.2</t>
  </si>
  <si>
    <t>Punten nr.3</t>
  </si>
  <si>
    <t>Punten nr.4</t>
  </si>
  <si>
    <t>Code 1e</t>
  </si>
  <si>
    <t>Code 2e</t>
  </si>
  <si>
    <t>Code 3e</t>
  </si>
  <si>
    <t>Code 4e</t>
  </si>
  <si>
    <t>Landen 1e</t>
  </si>
  <si>
    <t>Landen 2e</t>
  </si>
  <si>
    <t>Landen 3e</t>
  </si>
  <si>
    <t>Landen 4e</t>
  </si>
  <si>
    <t>E-mailcode</t>
  </si>
  <si>
    <t>Alfabetisch</t>
  </si>
  <si>
    <t>e-mail verplicht :</t>
  </si>
  <si>
    <t>e-mail ingevuld :</t>
  </si>
  <si>
    <t>Controle e-mail op :</t>
  </si>
  <si>
    <t>LENGTE</t>
  </si>
  <si>
    <t>SPATIES</t>
  </si>
  <si>
    <t>BEVAT @</t>
  </si>
  <si>
    <t>BEVAT PUNT</t>
  </si>
  <si>
    <t>Resultaat controle :</t>
  </si>
  <si>
    <t>E-mail Lengte :</t>
  </si>
  <si>
    <t>E-mail Code :</t>
  </si>
  <si>
    <t>E-mail Controle :</t>
  </si>
  <si>
    <t>BRON INSTELLEN VOOR SUGGESTIES</t>
  </si>
  <si>
    <t>OPHALEN GEGEVENS UIT BRON</t>
  </si>
  <si>
    <t>SORTEREN OP RANG</t>
  </si>
  <si>
    <t>SUGGESTIES EINDSTAND GROEP EN 1/8 FINALES</t>
  </si>
  <si>
    <t>wedstrijd 38</t>
  </si>
  <si>
    <t>Alle wedstrijden gespeeld in de groep</t>
  </si>
  <si>
    <t>c</t>
  </si>
  <si>
    <t>UITSLAG VOORSPELLEN</t>
  </si>
  <si>
    <t>d</t>
  </si>
  <si>
    <t>b</t>
  </si>
  <si>
    <t>▼</t>
  </si>
  <si>
    <t>e</t>
  </si>
  <si>
    <t>g</t>
  </si>
  <si>
    <t>TOTO VOORSPELLEN</t>
  </si>
  <si>
    <t>f</t>
  </si>
  <si>
    <t>Score +</t>
  </si>
  <si>
    <t>Score -</t>
  </si>
  <si>
    <t>Volgorde zonder naam</t>
  </si>
  <si>
    <t>&lt;--- Keuze</t>
  </si>
  <si>
    <t>h</t>
  </si>
  <si>
    <t>UITSLAG</t>
  </si>
  <si>
    <t xml:space="preserve"> 1.</t>
  </si>
  <si>
    <t>Keuze nr.1</t>
  </si>
  <si>
    <t>1.</t>
  </si>
  <si>
    <t>Controle nr.1</t>
  </si>
  <si>
    <t xml:space="preserve"> 2.</t>
  </si>
  <si>
    <t>Keuze nr.2</t>
  </si>
  <si>
    <t>Controle nr.2</t>
  </si>
  <si>
    <t xml:space="preserve"> 3.</t>
  </si>
  <si>
    <t>Keuze nr.3</t>
  </si>
  <si>
    <t>Controle nr.3</t>
  </si>
  <si>
    <t xml:space="preserve"> 4.</t>
  </si>
  <si>
    <t>Keuze nr.4</t>
  </si>
  <si>
    <t>Controle nr.4</t>
  </si>
  <si>
    <t>Eindcontrole</t>
  </si>
  <si>
    <t>DEELNAMECODE GROEPSFASE</t>
  </si>
  <si>
    <t>Dubbele Landen</t>
  </si>
  <si>
    <t>Controle Eindstandcode:</t>
  </si>
  <si>
    <t>0 = NEE, 1 = JA</t>
  </si>
  <si>
    <t>INSTELLINGEN</t>
  </si>
  <si>
    <t>REGLEMENT</t>
  </si>
  <si>
    <t>CONTROLE FINALEWEDSTRIJDEN</t>
  </si>
  <si>
    <t>LET OP, GEEN LEESTEKENS GEBRUIKEN IN LANDAFKORTING. ENKEL HOOFDLETTERS</t>
  </si>
  <si>
    <t>WANNEER LANDEN BEKEND ZIJN DEZE OP ALFABETISCHE VOLGORDE SORTEREN</t>
  </si>
  <si>
    <t>Reglement aanwezig?</t>
  </si>
  <si>
    <t>TODO keuzevelden</t>
  </si>
  <si>
    <t>Landen in één ronde meer dan één keer voorspellen?</t>
  </si>
  <si>
    <t>1/8 Finales</t>
  </si>
  <si>
    <t>&amp;&amp;</t>
  </si>
  <si>
    <t>??</t>
  </si>
  <si>
    <t>Tea. Thuis</t>
  </si>
  <si>
    <t>Tea. Uit</t>
  </si>
  <si>
    <t>A</t>
  </si>
  <si>
    <t>DEF3</t>
  </si>
  <si>
    <t>B</t>
  </si>
  <si>
    <t>ADEF3</t>
  </si>
  <si>
    <t>ABC3</t>
  </si>
  <si>
    <t>ABCD3</t>
  </si>
  <si>
    <t>D</t>
  </si>
  <si>
    <t>¹:</t>
  </si>
  <si>
    <t>E</t>
  </si>
  <si>
    <t>1/4 Finales</t>
  </si>
  <si>
    <t>Nummer</t>
  </si>
  <si>
    <t>F</t>
  </si>
  <si>
    <t>G</t>
  </si>
  <si>
    <t>1/2 Finales</t>
  </si>
  <si>
    <t>──</t>
  </si>
  <si>
    <t>meeste doelpunten 
in één wedstrijd</t>
  </si>
  <si>
    <t>Dubbele voorspelling  (0 = NEE, 1 = JA) --&gt;</t>
  </si>
  <si>
    <t>BRON INSTELLEN VOOR
SUGGESTIES 1/8 FINALES</t>
  </si>
  <si>
    <t>Extra tekens voor het sluiten van de code ---&gt;</t>
  </si>
  <si>
    <t>a.</t>
  </si>
  <si>
    <t>DEELNAMECODE FINALEWEDSTRIJDEN</t>
  </si>
  <si>
    <t>b.</t>
  </si>
  <si>
    <t>c.</t>
  </si>
  <si>
    <t>EINDSTAND GROEP VOORSPELLEN</t>
  </si>
  <si>
    <r>
      <rPr>
        <sz val="10"/>
        <color theme="0"/>
        <rFont val="Calibri"/>
        <family val="2"/>
      </rPr>
      <t>←</t>
    </r>
    <r>
      <rPr>
        <i/>
        <sz val="10"/>
        <color theme="0"/>
        <rFont val="Calibri"/>
        <family val="2"/>
        <scheme val="minor"/>
      </rPr>
      <t xml:space="preserve"> voorrang bij</t>
    </r>
  </si>
  <si>
    <t>(LET OP: code is met winnaar van het toernooi)</t>
  </si>
  <si>
    <t>bron instellen</t>
  </si>
  <si>
    <r>
      <rPr>
        <sz val="10"/>
        <color theme="0"/>
        <rFont val="Arial"/>
        <family val="2"/>
      </rPr>
      <t>└</t>
    </r>
    <r>
      <rPr>
        <sz val="10"/>
        <color theme="0"/>
        <rFont val="Calibri"/>
        <family val="2"/>
      </rPr>
      <t xml:space="preserve"> code zonder winnaar :</t>
    </r>
  </si>
  <si>
    <t>Controle finalecode  :</t>
  </si>
  <si>
    <t>A-F</t>
  </si>
  <si>
    <t>nr.</t>
  </si>
  <si>
    <t>a - thuis</t>
  </si>
  <si>
    <t>a - uit</t>
  </si>
  <si>
    <t>b - thuis</t>
  </si>
  <si>
    <t>b - uit</t>
  </si>
  <si>
    <t>c - thuis</t>
  </si>
  <si>
    <t>c - uit</t>
  </si>
  <si>
    <t>suggestie - thuis</t>
  </si>
  <si>
    <t>suggestie - uit</t>
  </si>
  <si>
    <t>Alfabetische volgorde van de landen (afhankelijk van taal)</t>
  </si>
  <si>
    <t>thuis code</t>
  </si>
  <si>
    <t>uit code</t>
  </si>
  <si>
    <t>thuis menu</t>
  </si>
  <si>
    <t>uit menu</t>
  </si>
  <si>
    <t>thuis (landen)</t>
  </si>
  <si>
    <t>uit (landen)</t>
  </si>
  <si>
    <t>n.v.t.</t>
  </si>
  <si>
    <t>suggestie - winnaar</t>
  </si>
  <si>
    <t>winnaar code</t>
  </si>
  <si>
    <t>winnaar menu</t>
  </si>
  <si>
    <t>winaar (landen)</t>
  </si>
  <si>
    <t>W</t>
  </si>
  <si>
    <t>STELLINGEN CONTROLEREN OP UITKOMST OP BASIS VAN VOORSPELLING</t>
  </si>
  <si>
    <t>finalisten 1/8 finales</t>
  </si>
  <si>
    <t>→</t>
  </si>
  <si>
    <t>alle landen ingevuld</t>
  </si>
  <si>
    <t>Land 1</t>
  </si>
  <si>
    <t>=</t>
  </si>
  <si>
    <t>alles ingevuld</t>
  </si>
  <si>
    <t>Land 2</t>
  </si>
  <si>
    <t>aantal JA :</t>
  </si>
  <si>
    <t>Land 3</t>
  </si>
  <si>
    <t>eis JA minimaal :</t>
  </si>
  <si>
    <t>Land 4</t>
  </si>
  <si>
    <t>aantal NEE :</t>
  </si>
  <si>
    <t>Land 5</t>
  </si>
  <si>
    <t>Land 6</t>
  </si>
  <si>
    <t>Land 7</t>
  </si>
  <si>
    <t>Land 8</t>
  </si>
  <si>
    <t>2.</t>
  </si>
  <si>
    <t>Brongegegevens</t>
  </si>
  <si>
    <t>aantal onvoldoende gegevens :</t>
  </si>
  <si>
    <t>wed. 40u</t>
  </si>
  <si>
    <t>/</t>
  </si>
  <si>
    <t>wed. 48t</t>
  </si>
  <si>
    <t>wed. 39u</t>
  </si>
  <si>
    <t>wed. 45t</t>
  </si>
  <si>
    <t>wed. 41u</t>
  </si>
  <si>
    <t>wed. 46t</t>
  </si>
  <si>
    <t>wed. 43u</t>
  </si>
  <si>
    <t>wed. 47t</t>
  </si>
  <si>
    <t>3.</t>
  </si>
  <si>
    <t>wed. 45u</t>
  </si>
  <si>
    <t>+</t>
  </si>
  <si>
    <t>winst</t>
  </si>
  <si>
    <t>verlies</t>
  </si>
  <si>
    <t>wed. 47u</t>
  </si>
  <si>
    <t>wed. 99u</t>
  </si>
  <si>
    <t>4.</t>
  </si>
  <si>
    <t>eindstand voorspellen na eventuele verlenging :</t>
  </si>
  <si>
    <t>aantal wedstrijden winst/verlies</t>
  </si>
  <si>
    <t>eis gelijk minimaal :</t>
  </si>
  <si>
    <t>TF</t>
  </si>
  <si>
    <t>aantal wedstrijden gelijkspel</t>
  </si>
  <si>
    <t>5.</t>
  </si>
  <si>
    <t>3e</t>
  </si>
  <si>
    <t>Groepswinnaars</t>
  </si>
  <si>
    <t>Win.</t>
  </si>
  <si>
    <t>wed. 51t</t>
  </si>
  <si>
    <t>wed. 51u</t>
  </si>
  <si>
    <t>stellingen</t>
  </si>
  <si>
    <t>Groep A t/m C</t>
  </si>
  <si>
    <t>winnaar</t>
  </si>
  <si>
    <t>8.</t>
  </si>
  <si>
    <t>1/8 f</t>
  </si>
  <si>
    <t>aanwezig/winst</t>
  </si>
  <si>
    <t>1/4 f</t>
  </si>
  <si>
    <t>aantal winst :</t>
  </si>
  <si>
    <t>1/2 f</t>
  </si>
  <si>
    <t>eis winst minimaal :</t>
  </si>
  <si>
    <t>finale</t>
  </si>
  <si>
    <t>aantal geen winst :</t>
  </si>
  <si>
    <t>wijkt af ten opzichte van F2e en F3e</t>
  </si>
  <si>
    <t>9.</t>
  </si>
  <si>
    <t>12.</t>
  </si>
  <si>
    <t>14.</t>
  </si>
  <si>
    <t>zie werkblad bonusvragen</t>
  </si>
  <si>
    <t>10.</t>
  </si>
  <si>
    <t>11.</t>
  </si>
  <si>
    <t>13.</t>
  </si>
  <si>
    <t>15.</t>
  </si>
  <si>
    <t>6.</t>
  </si>
  <si>
    <t>Engeland/Italië</t>
  </si>
  <si>
    <t>Teamscode</t>
  </si>
  <si>
    <t>&lt;0|00|0|00|00&gt;</t>
  </si>
  <si>
    <t>Controle Code</t>
  </si>
  <si>
    <t>Aantal teams</t>
  </si>
  <si>
    <t>Selectie minimum</t>
  </si>
  <si>
    <t>Selectie maximum</t>
  </si>
  <si>
    <t>$$$</t>
  </si>
  <si>
    <t>###</t>
  </si>
  <si>
    <t>Selectie regel</t>
  </si>
  <si>
    <t>Bronregels</t>
  </si>
  <si>
    <t>Team 01</t>
  </si>
  <si>
    <t>team actief</t>
  </si>
  <si>
    <t>bronregel</t>
  </si>
  <si>
    <t>omschrijving</t>
  </si>
  <si>
    <t>keuze</t>
  </si>
  <si>
    <t>pagina break?</t>
  </si>
  <si>
    <t>max. aantal regels op 1 pagina</t>
  </si>
  <si>
    <t>aantal verplichte regels</t>
  </si>
  <si>
    <t>aantal benodigde pagina's</t>
  </si>
  <si>
    <t>positie 1e regel 2e pagina</t>
  </si>
  <si>
    <t>aantal regels 1e pagina</t>
  </si>
  <si>
    <t>aantal regels tweede pagina</t>
  </si>
  <si>
    <t>aanta extra lege regels</t>
  </si>
  <si>
    <t>(</t>
  </si>
  <si>
    <t>)</t>
  </si>
  <si>
    <t>Aantal geselecteerde teams</t>
  </si>
  <si>
    <t>Eis minimaal</t>
  </si>
  <si>
    <t>Eis maximaal</t>
  </si>
  <si>
    <t>Voldaan aan eis (1=OK, 2=teweinig, 3=teveel)</t>
  </si>
  <si>
    <t>BRON INSTELLEN VOOR
SUGGESTIES BONUSVRAGEN</t>
  </si>
  <si>
    <t>Type reglement</t>
  </si>
  <si>
    <t>BLAD</t>
  </si>
  <si>
    <t>corrigeer bij switch EK-WK</t>
  </si>
  <si>
    <t>Groepswedstrijden - uitslag voorspellen</t>
  </si>
  <si>
    <t>Bron Groepswedstrijden:</t>
  </si>
  <si>
    <t>EK VERSUS WK - CONTROLE CODE</t>
  </si>
  <si>
    <t>LENGTE CODE</t>
  </si>
  <si>
    <t>AANTAL GOED</t>
  </si>
  <si>
    <t>Groepswedstrijden - TOTO voorspellen</t>
  </si>
  <si>
    <t>Bron Eindstand Groep:</t>
  </si>
  <si>
    <t>g1/e1/f1</t>
  </si>
  <si>
    <t>g2/f2</t>
  </si>
  <si>
    <t>f3</t>
  </si>
  <si>
    <t>LEEG</t>
  </si>
  <si>
    <t>Eindstand in de groep voorspellen</t>
  </si>
  <si>
    <t>Bron Finale Wedstrijden:</t>
  </si>
  <si>
    <t>Aantal groepen</t>
  </si>
  <si>
    <t>Finale wedstrijden - uitslag voorspellen</t>
  </si>
  <si>
    <t xml:space="preserve">ALLES VOORSPELD </t>
  </si>
  <si>
    <t>Aantal landen</t>
  </si>
  <si>
    <t>Finale wedstrijden - TOTO voorspellen</t>
  </si>
  <si>
    <t>Aantal groepswedstrijden</t>
  </si>
  <si>
    <t>Finale wedstrijden - landen voorspellen</t>
  </si>
  <si>
    <t>Aantal finales</t>
  </si>
  <si>
    <t>Bron Bonusvragen</t>
  </si>
  <si>
    <t>NAAMCODE</t>
  </si>
  <si>
    <t>E-MAILCODE</t>
  </si>
  <si>
    <t>naamcode :</t>
  </si>
  <si>
    <t>e-mailcode :</t>
  </si>
  <si>
    <t>veldcontrole :</t>
  </si>
  <si>
    <t>naamlengte :</t>
  </si>
  <si>
    <t>e-maillengte :</t>
  </si>
  <si>
    <t>lengtecontrole :</t>
  </si>
  <si>
    <t>uitslag controle :</t>
  </si>
  <si>
    <t>GROEPSCODE</t>
  </si>
  <si>
    <t>naam verplicht :</t>
  </si>
  <si>
    <t>JA</t>
  </si>
  <si>
    <t>groepscode :</t>
  </si>
  <si>
    <t>Opmerkingen indien één van de velden leeg is bij de NAAMCODE</t>
  </si>
  <si>
    <t>aantal leeg :</t>
  </si>
  <si>
    <t>aantal hoog :</t>
  </si>
  <si>
    <t>aantal ongeldig :</t>
  </si>
  <si>
    <t>aantal goed :</t>
  </si>
  <si>
    <t>POULECODE</t>
  </si>
  <si>
    <t>poulecode :</t>
  </si>
  <si>
    <t>Opmerkingen indien één van de velden fout is bij de NAAMCODE</t>
  </si>
  <si>
    <t>aantal dubbel :</t>
  </si>
  <si>
    <t>Opmerkingen wanneer alles goed is.</t>
  </si>
  <si>
    <t>FINALECODE</t>
  </si>
  <si>
    <t>finalecode :</t>
  </si>
  <si>
    <t>reglement dubbel :</t>
  </si>
  <si>
    <t>WINNAARCODE</t>
  </si>
  <si>
    <t>winnaarcode :</t>
  </si>
  <si>
    <t>3 = goed / 4 = leeg</t>
  </si>
  <si>
    <t>BONUSVRAGENCODE</t>
  </si>
  <si>
    <t>vragencode :</t>
  </si>
  <si>
    <t>lengte 1:</t>
  </si>
  <si>
    <t>lengte 2:</t>
  </si>
  <si>
    <t>TEAMSCODE</t>
  </si>
  <si>
    <t>teamscode :</t>
  </si>
  <si>
    <t>aantalcontrole :</t>
  </si>
  <si>
    <t>lengte controle :</t>
  </si>
  <si>
    <t>LEGE REGEL</t>
  </si>
  <si>
    <t>Onderdeel</t>
  </si>
  <si>
    <t>AANTAL</t>
  </si>
  <si>
    <t>GOED</t>
  </si>
  <si>
    <t>FOUT</t>
  </si>
  <si>
    <t>Aantal Regels (27 benodigd) --&gt;</t>
  </si>
  <si>
    <t>1 = ALLES GOED</t>
  </si>
  <si>
    <t>2 = LEEG (1 of meer)</t>
  </si>
  <si>
    <t>3 = FOUT (1 of meer)</t>
  </si>
  <si>
    <t>TOTAAL UITSLAG</t>
  </si>
  <si>
    <t>4 = LEEG &amp; FOUT (2 of meer)</t>
  </si>
  <si>
    <t>TEKST BIJ FOUT OF LEEG</t>
  </si>
  <si>
    <t>Tekst bij DEMO/BETA-versie</t>
  </si>
  <si>
    <t>.</t>
  </si>
  <si>
    <t>Dit bestand betreft een …. versie :</t>
  </si>
  <si>
    <t>TEKST BIJ ALLES GOED (7x)</t>
  </si>
  <si>
    <t>Carmen Schalks (Bisbee)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</si>
</sst>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2" borderId="0" xfId="0" applyFont="1" applyFill="1" applyAlignment="1" applyProtection="1">
      <alignment horizontal="center" vertical="center"/>
      <protection hidden="1"/>
    </xf>
    <xf numFmtId="0" fontId="53" fillId="19" borderId="3" xfId="0" applyFont="1" applyFill="1" applyBorder="1" applyAlignment="1" applyProtection="1">
      <alignment horizontal="center" textRotation="90"/>
      <protection hidden="1"/>
    </xf>
    <xf numFmtId="0" fontId="42" fillId="19"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textRotation="90"/>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0" borderId="1" xfId="0" applyFont="1" applyFill="1" applyBorder="1" applyAlignment="1" applyProtection="1">
      <alignment horizontal="center" vertical="center"/>
      <protection hidden="1"/>
    </xf>
    <xf numFmtId="0" fontId="108"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0"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0"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5" fillId="45"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0" fillId="2" borderId="3" xfId="0" applyFont="1" applyFill="1" applyBorder="1" applyAlignment="1" applyProtection="1">
      <alignment horizontal="center"/>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4" fillId="4"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6" borderId="0" xfId="0" applyFont="1" applyFill="1" applyAlignment="1" applyProtection="1">
      <alignment horizontal="left"/>
      <protection hidden="1"/>
    </xf>
    <xf numFmtId="0" fontId="1" fillId="55"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166" fontId="103" fillId="13" borderId="0" xfId="0" applyNumberFormat="1" applyFont="1" applyFill="1" applyAlignment="1" applyProtection="1">
      <alignment horizontal="center"/>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4" fillId="18" borderId="0" xfId="0" applyFont="1" applyFill="1" applyAlignment="1" applyProtection="1">
      <alignment horizontal="center"/>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0</v>
      </c>
      <c r="C1" s="557">
        <f>Voorblad!W66</f>
        <v>1</v>
      </c>
    </row>
    <row r="2" spans="1:6" s="555" customFormat="1" x14ac:dyDescent="0.25">
      <c r="A2" s="556" t="s">
        <v>1</v>
      </c>
      <c r="C2" s="557">
        <f>$C$1+2</f>
        <v>3</v>
      </c>
    </row>
    <row r="3" spans="1:6" s="530" customFormat="1" x14ac:dyDescent="0.25">
      <c r="A3" s="529" t="s">
        <v>2</v>
      </c>
      <c r="B3" s="796" t="s">
        <v>3</v>
      </c>
      <c r="C3" s="530" t="s">
        <v>4</v>
      </c>
      <c r="D3" s="530" t="s">
        <v>5</v>
      </c>
      <c r="E3" s="530" t="s">
        <v>6</v>
      </c>
      <c r="F3" s="530" t="s">
        <v>7</v>
      </c>
    </row>
    <row r="4" spans="1:6" s="532" customFormat="1" x14ac:dyDescent="0.25">
      <c r="A4" s="531"/>
      <c r="B4" s="797"/>
    </row>
    <row r="5" spans="1:6" s="533" customFormat="1" x14ac:dyDescent="0.25">
      <c r="A5" s="536" t="s">
        <v>8</v>
      </c>
      <c r="B5" s="798"/>
    </row>
    <row r="6" spans="1:6" s="532" customFormat="1" x14ac:dyDescent="0.25">
      <c r="A6" s="535" t="str">
        <f>"01-A-001"</f>
        <v>01-A-001</v>
      </c>
      <c r="B6" s="789" t="str">
        <f ca="1">INDIRECT(CHAR(64+$C$2)&amp;ROW())</f>
        <v>EURO 2024</v>
      </c>
      <c r="C6" s="532" t="s">
        <v>9</v>
      </c>
      <c r="D6" s="537" t="s">
        <v>9</v>
      </c>
      <c r="E6" s="537" t="s">
        <v>9</v>
      </c>
      <c r="F6" s="537" t="s">
        <v>9</v>
      </c>
    </row>
    <row r="7" spans="1:6" s="533" customFormat="1" x14ac:dyDescent="0.25">
      <c r="A7" s="534" t="str">
        <f t="shared" ref="A7:A70" si="0">LEFT(A6,5)&amp;RIGHT("000"&amp;RIGHT(A6,3)*1+1,3)</f>
        <v>01-A-002</v>
      </c>
      <c r="B7" s="800" t="str">
        <f ca="1">INDIRECT(CHAR(64+$C$2)&amp;ROW())</f>
        <v>Duitsland</v>
      </c>
      <c r="C7" s="533" t="s">
        <v>10</v>
      </c>
      <c r="D7" s="538" t="s">
        <v>11</v>
      </c>
      <c r="E7" s="538" t="s">
        <v>12</v>
      </c>
      <c r="F7" s="538" t="s">
        <v>13</v>
      </c>
    </row>
    <row r="8" spans="1:6" s="532" customFormat="1" x14ac:dyDescent="0.25">
      <c r="A8" s="535" t="str">
        <f t="shared" si="0"/>
        <v>01-A-003</v>
      </c>
      <c r="B8" s="789" t="str">
        <f ca="1">INDIRECT(CHAR(64+$C$2)&amp;ROW())</f>
        <v>UEFA Europees kampioenschap: Duitsland</v>
      </c>
      <c r="C8" s="537" t="s">
        <v>14</v>
      </c>
      <c r="D8" s="537" t="s">
        <v>15</v>
      </c>
      <c r="E8" s="537" t="s">
        <v>16</v>
      </c>
      <c r="F8" s="537" t="s">
        <v>17</v>
      </c>
    </row>
    <row r="9" spans="1:6" s="533" customFormat="1" x14ac:dyDescent="0.25">
      <c r="A9" s="534" t="str">
        <f t="shared" si="0"/>
        <v>01-A-004</v>
      </c>
      <c r="B9" s="800" t="str">
        <f ca="1">INDIRECT(CHAR(64+$C$2)&amp;ROW())</f>
        <v>Nog één dag tot de start van EURO 2024</v>
      </c>
      <c r="C9" s="538" t="s">
        <v>18</v>
      </c>
      <c r="D9" s="538" t="s">
        <v>19</v>
      </c>
      <c r="E9" s="538" t="s">
        <v>20</v>
      </c>
      <c r="F9" s="538" t="s">
        <v>21</v>
      </c>
    </row>
    <row r="10" spans="1:6" s="532" customFormat="1" x14ac:dyDescent="0.25">
      <c r="A10" s="535" t="str">
        <f t="shared" si="0"/>
        <v>01-A-005</v>
      </c>
      <c r="B10" s="789" t="str">
        <f ca="1">INDIRECT(CHAR(64+$C$2)&amp;ROW())</f>
        <v>Nog ### dagen tot de start van EURO 2024</v>
      </c>
      <c r="C10" s="537" t="s">
        <v>22</v>
      </c>
      <c r="D10" s="537" t="s">
        <v>23</v>
      </c>
      <c r="E10" s="537" t="s">
        <v>24</v>
      </c>
      <c r="F10" s="537" t="s">
        <v>25</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26</v>
      </c>
      <c r="D15" s="533" t="s">
        <v>27</v>
      </c>
      <c r="E15" s="533" t="s">
        <v>28</v>
      </c>
      <c r="F15" s="533" t="s">
        <v>29</v>
      </c>
    </row>
    <row r="16" spans="1:6" s="532" customFormat="1" x14ac:dyDescent="0.25">
      <c r="A16" s="535" t="str">
        <f t="shared" si="0"/>
        <v>01-A-011</v>
      </c>
      <c r="B16" s="789" t="str">
        <f ca="1">INDIRECT(CHAR(64+$C$2)&amp;ROW())</f>
        <v>Demo</v>
      </c>
      <c r="C16" s="532" t="s">
        <v>30</v>
      </c>
      <c r="D16" s="532" t="s">
        <v>30</v>
      </c>
      <c r="E16" s="532" t="s">
        <v>30</v>
      </c>
      <c r="F16" s="532" t="s">
        <v>30</v>
      </c>
    </row>
    <row r="17" spans="1:6" s="533" customFormat="1" x14ac:dyDescent="0.25">
      <c r="A17" s="534" t="str">
        <f t="shared" si="0"/>
        <v>01-A-012</v>
      </c>
      <c r="B17" s="800" t="str">
        <f ca="1">UPPER(INDIRECT(CHAR(64+$C$2)&amp;ROW()))</f>
        <v>BETA VERSIE</v>
      </c>
      <c r="C17" s="533" t="s">
        <v>31</v>
      </c>
      <c r="D17" s="533" t="s">
        <v>32</v>
      </c>
      <c r="E17" s="533" t="s">
        <v>33</v>
      </c>
      <c r="F17" s="533" t="s">
        <v>34</v>
      </c>
    </row>
    <row r="18" spans="1:6" s="532" customFormat="1" x14ac:dyDescent="0.25">
      <c r="A18" s="535" t="str">
        <f t="shared" si="0"/>
        <v>01-A-013</v>
      </c>
      <c r="B18" s="789" t="str">
        <f ca="1">UPPER(INDIRECT(CHAR(64+$C$2)&amp;ROW()))</f>
        <v>DEMO VERSIE</v>
      </c>
      <c r="C18" s="532" t="s">
        <v>35</v>
      </c>
      <c r="D18" s="532" t="s">
        <v>36</v>
      </c>
      <c r="E18" s="532" t="s">
        <v>37</v>
      </c>
      <c r="F18" s="532" t="s">
        <v>38</v>
      </c>
    </row>
    <row r="19" spans="1:6" s="533" customFormat="1" x14ac:dyDescent="0.25">
      <c r="A19" s="534" t="str">
        <f t="shared" si="0"/>
        <v>01-A-014</v>
      </c>
      <c r="B19" s="800" t="str">
        <f ca="1">UPPER(INDIRECT(CHAR(64+$C$2)&amp;ROW()))</f>
        <v>PREVIEW VERSIE</v>
      </c>
      <c r="C19" s="533" t="s">
        <v>39</v>
      </c>
      <c r="D19" s="533" t="s">
        <v>40</v>
      </c>
      <c r="E19" s="533" t="s">
        <v>41</v>
      </c>
      <c r="F19" s="533" t="s">
        <v>42</v>
      </c>
    </row>
    <row r="20" spans="1:6" s="532" customFormat="1" x14ac:dyDescent="0.25">
      <c r="A20" s="535" t="str">
        <f t="shared" si="0"/>
        <v>01-A-015</v>
      </c>
      <c r="B20" s="789" t="str">
        <f t="shared" ref="B20:B33" ca="1" si="1">INDIRECT(CHAR(64+$C$2)&amp;ROW())</f>
        <v>Extra Beheerdersmodule voor de Organisatoren</v>
      </c>
      <c r="C20" s="532" t="s">
        <v>43</v>
      </c>
      <c r="D20" s="532" t="s">
        <v>44</v>
      </c>
      <c r="E20" s="532" t="s">
        <v>45</v>
      </c>
      <c r="F20" s="532" t="s">
        <v>46</v>
      </c>
    </row>
    <row r="21" spans="1:6" s="533" customFormat="1" x14ac:dyDescent="0.25">
      <c r="A21" s="534" t="str">
        <f t="shared" si="0"/>
        <v>01-A-016</v>
      </c>
      <c r="B21" s="800" t="str">
        <f t="shared" ca="1" si="1"/>
        <v>Het Deelname Formulier</v>
      </c>
      <c r="C21" s="533" t="s">
        <v>47</v>
      </c>
      <c r="D21" s="533" t="s">
        <v>48</v>
      </c>
      <c r="E21" s="533" t="s">
        <v>49</v>
      </c>
      <c r="F21" s="533" t="s">
        <v>50</v>
      </c>
    </row>
    <row r="22" spans="1:6" s="532" customFormat="1" x14ac:dyDescent="0.25">
      <c r="A22" s="535" t="str">
        <f t="shared" si="0"/>
        <v>01-A-017</v>
      </c>
      <c r="B22" s="789" t="str">
        <f t="shared" ca="1" si="1"/>
        <v>Het Excel Deelname Formulier</v>
      </c>
      <c r="C22" s="532" t="s">
        <v>51</v>
      </c>
      <c r="D22" s="532" t="s">
        <v>52</v>
      </c>
      <c r="E22" s="532" t="s">
        <v>53</v>
      </c>
      <c r="F22" s="532" t="s">
        <v>54</v>
      </c>
    </row>
    <row r="23" spans="1:6" s="553" customFormat="1" x14ac:dyDescent="0.25">
      <c r="A23" s="551" t="str">
        <f t="shared" si="0"/>
        <v>01-A-018</v>
      </c>
      <c r="B23" s="802" t="str">
        <f t="shared" ca="1" si="1"/>
        <v>Externe Ranglijst</v>
      </c>
      <c r="C23" s="553" t="s">
        <v>55</v>
      </c>
      <c r="D23" s="553" t="s">
        <v>56</v>
      </c>
      <c r="E23" s="553" t="s">
        <v>57</v>
      </c>
      <c r="F23" s="553" t="s">
        <v>58</v>
      </c>
    </row>
    <row r="24" spans="1:6" s="554" customFormat="1" x14ac:dyDescent="0.25">
      <c r="A24" s="552" t="str">
        <f t="shared" si="0"/>
        <v>01-A-019</v>
      </c>
      <c r="B24" s="803" t="str">
        <f t="shared" ca="1" si="1"/>
        <v>Uitbreidingsmodule voor het Beheerders Bestand</v>
      </c>
      <c r="C24" s="554" t="s">
        <v>59</v>
      </c>
      <c r="D24" s="554" t="s">
        <v>60</v>
      </c>
      <c r="E24" s="554" t="s">
        <v>61</v>
      </c>
      <c r="F24" s="554" t="s">
        <v>62</v>
      </c>
    </row>
    <row r="25" spans="1:6" s="553" customFormat="1" x14ac:dyDescent="0.25">
      <c r="A25" s="551" t="str">
        <f t="shared" si="0"/>
        <v>01-A-020</v>
      </c>
      <c r="B25" s="802" t="str">
        <f t="shared" ca="1" si="1"/>
        <v>Update voor de Excel EK-Pool naar versie</v>
      </c>
      <c r="C25" s="553" t="s">
        <v>63</v>
      </c>
      <c r="D25" s="553" t="s">
        <v>64</v>
      </c>
      <c r="E25" s="553" t="s">
        <v>65</v>
      </c>
      <c r="F25" s="553" t="s">
        <v>66</v>
      </c>
    </row>
    <row r="26" spans="1:6" s="554" customFormat="1" x14ac:dyDescent="0.25">
      <c r="A26" s="552" t="str">
        <f t="shared" si="0"/>
        <v>01-A-021</v>
      </c>
      <c r="B26" s="803" t="str">
        <f t="shared" ca="1" si="1"/>
        <v>Helpbestand voor Excel-pool.nl</v>
      </c>
      <c r="C26" s="554" t="s">
        <v>67</v>
      </c>
      <c r="D26" s="554" t="s">
        <v>68</v>
      </c>
      <c r="E26" s="554" t="s">
        <v>69</v>
      </c>
      <c r="F26" s="554" t="s">
        <v>70</v>
      </c>
    </row>
    <row r="27" spans="1:6" s="538" customFormat="1" x14ac:dyDescent="0.25">
      <c r="A27" s="534" t="str">
        <f t="shared" si="0"/>
        <v>01-A-022</v>
      </c>
      <c r="B27" s="788" t="str">
        <f t="shared" ca="1" si="1"/>
        <v>LET OP: Voor een optimaal gebruik van dit bestand wordt geadviseerd om de macro's in te schakelen.</v>
      </c>
      <c r="C27" s="538" t="s">
        <v>71</v>
      </c>
      <c r="D27" s="538" t="s">
        <v>72</v>
      </c>
      <c r="E27" s="538" t="s">
        <v>73</v>
      </c>
      <c r="F27" s="538" t="s">
        <v>74</v>
      </c>
    </row>
    <row r="28" spans="1:6" s="554" customFormat="1" x14ac:dyDescent="0.25">
      <c r="A28" s="552" t="str">
        <f t="shared" si="0"/>
        <v>01-A-023</v>
      </c>
      <c r="B28" s="803" t="str">
        <f t="shared" ca="1" si="1"/>
        <v>LET OP: Deze module maakt gebruik van macro's. Het word geadviseerd om deze in te schakelen.</v>
      </c>
      <c r="C28" s="554" t="s">
        <v>75</v>
      </c>
      <c r="D28" s="554" t="s">
        <v>76</v>
      </c>
      <c r="E28" s="554" t="s">
        <v>77</v>
      </c>
      <c r="F28" s="554" t="s">
        <v>78</v>
      </c>
    </row>
    <row r="29" spans="1:6" s="538" customFormat="1" x14ac:dyDescent="0.25">
      <c r="A29" s="534" t="str">
        <f t="shared" si="0"/>
        <v>01-A-024</v>
      </c>
      <c r="B29" s="788" t="str">
        <f t="shared" ca="1" si="1"/>
        <v>LET OP: Dit formulier bevat geen reglement. Vraag uw organisator om het reglement toe te voegen.</v>
      </c>
      <c r="C29" s="538" t="s">
        <v>79</v>
      </c>
      <c r="D29" s="538" t="s">
        <v>80</v>
      </c>
      <c r="E29" s="538" t="s">
        <v>81</v>
      </c>
      <c r="F29" s="538" t="s">
        <v>82</v>
      </c>
    </row>
    <row r="30" spans="1:6" s="554" customFormat="1" x14ac:dyDescent="0.25">
      <c r="A30" s="552" t="str">
        <f t="shared" si="0"/>
        <v>01-A-025</v>
      </c>
      <c r="B30" s="803" t="str">
        <f t="shared" ca="1" si="1"/>
        <v>LET OP: Deze module maakt gebruikt van macro's en is geschikt voor maximaal ### deelnemers.</v>
      </c>
      <c r="C30" s="554" t="s">
        <v>83</v>
      </c>
      <c r="D30" s="554" t="s">
        <v>84</v>
      </c>
      <c r="E30" s="554" t="s">
        <v>85</v>
      </c>
      <c r="F30" s="554" t="s">
        <v>86</v>
      </c>
    </row>
    <row r="31" spans="1:6" s="553" customFormat="1" x14ac:dyDescent="0.25">
      <c r="A31" s="551" t="str">
        <f t="shared" si="0"/>
        <v>01-A-026</v>
      </c>
      <c r="B31" s="802" t="str">
        <f t="shared" ca="1" si="1"/>
        <v>LET OP: Deze ranglijst maakt gebruikt van macro's en is geschikt voor maximaal ### deelnemers.</v>
      </c>
      <c r="C31" s="553" t="s">
        <v>87</v>
      </c>
      <c r="D31" s="553" t="s">
        <v>88</v>
      </c>
      <c r="E31" s="553" t="s">
        <v>89</v>
      </c>
      <c r="F31" s="553" t="s">
        <v>90</v>
      </c>
    </row>
    <row r="32" spans="1:6" s="554" customFormat="1" x14ac:dyDescent="0.25">
      <c r="A32" s="552" t="str">
        <f t="shared" si="0"/>
        <v>01-A-027</v>
      </c>
      <c r="B32" s="803" t="str">
        <f t="shared" ca="1" si="1"/>
        <v>LET OP: Deze update maakt gebruik van macro's. Geadviseerd wordt om deze in te schakelen.</v>
      </c>
      <c r="C32" s="554" t="s">
        <v>91</v>
      </c>
      <c r="D32" s="554" t="s">
        <v>92</v>
      </c>
      <c r="E32" s="554" t="s">
        <v>93</v>
      </c>
      <c r="F32" s="554" t="s">
        <v>94</v>
      </c>
    </row>
    <row r="33" spans="1:6" s="541" customFormat="1" x14ac:dyDescent="0.25">
      <c r="A33" s="534" t="str">
        <f t="shared" si="0"/>
        <v>01-A-028</v>
      </c>
      <c r="B33" s="800" t="str">
        <f t="shared" ca="1" si="1"/>
        <v>Deelnemers</v>
      </c>
      <c r="C33" s="533" t="s">
        <v>95</v>
      </c>
      <c r="D33" s="533" t="s">
        <v>96</v>
      </c>
      <c r="E33" s="538" t="s">
        <v>97</v>
      </c>
      <c r="F33" s="541" t="s">
        <v>98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99</v>
      </c>
      <c r="D36" s="537" t="s">
        <v>100</v>
      </c>
      <c r="E36" s="537" t="s">
        <v>101</v>
      </c>
      <c r="F36" s="537" t="s">
        <v>102</v>
      </c>
    </row>
    <row r="37" spans="1:6" s="538" customFormat="1" x14ac:dyDescent="0.25">
      <c r="A37" s="549" t="str">
        <f t="shared" si="0"/>
        <v>01-A-032</v>
      </c>
      <c r="B37" s="788" t="str">
        <f t="shared" ca="1" si="2"/>
        <v>Reglement</v>
      </c>
      <c r="C37" s="538" t="s">
        <v>103</v>
      </c>
      <c r="D37" s="538" t="s">
        <v>104</v>
      </c>
      <c r="E37" s="538" t="s">
        <v>105</v>
      </c>
      <c r="F37" s="538" t="s">
        <v>106</v>
      </c>
    </row>
    <row r="38" spans="1:6" s="537" customFormat="1" x14ac:dyDescent="0.25">
      <c r="A38" s="550" t="str">
        <f t="shared" si="0"/>
        <v>01-A-033</v>
      </c>
      <c r="B38" s="787" t="str">
        <f t="shared" ca="1" si="2"/>
        <v>Prijzenpot</v>
      </c>
      <c r="C38" s="537" t="s">
        <v>107</v>
      </c>
      <c r="D38" s="537" t="s">
        <v>108</v>
      </c>
      <c r="E38" s="537" t="s">
        <v>109</v>
      </c>
      <c r="F38" s="537" t="s">
        <v>110</v>
      </c>
    </row>
    <row r="39" spans="1:6" s="538" customFormat="1" x14ac:dyDescent="0.25">
      <c r="A39" s="549" t="str">
        <f t="shared" si="0"/>
        <v>01-A-034</v>
      </c>
      <c r="B39" s="788" t="str">
        <f t="shared" ca="1" si="2"/>
        <v>Groepswedstrijden</v>
      </c>
      <c r="C39" s="538" t="s">
        <v>111</v>
      </c>
      <c r="D39" s="538" t="s">
        <v>112</v>
      </c>
      <c r="E39" s="538" t="s">
        <v>113</v>
      </c>
      <c r="F39" s="538" t="s">
        <v>114</v>
      </c>
    </row>
    <row r="40" spans="1:6" s="537" customFormat="1" x14ac:dyDescent="0.25">
      <c r="A40" s="550" t="str">
        <f t="shared" si="0"/>
        <v>01-A-035</v>
      </c>
      <c r="B40" s="787" t="str">
        <f t="shared" ca="1" si="2"/>
        <v>Eindstand Groep</v>
      </c>
      <c r="C40" s="537" t="s">
        <v>115</v>
      </c>
      <c r="D40" s="537" t="s">
        <v>116</v>
      </c>
      <c r="E40" s="537" t="s">
        <v>117</v>
      </c>
      <c r="F40" s="537" t="s">
        <v>118</v>
      </c>
    </row>
    <row r="41" spans="1:6" s="538" customFormat="1" x14ac:dyDescent="0.25">
      <c r="A41" s="549" t="str">
        <f t="shared" si="0"/>
        <v>01-A-036</v>
      </c>
      <c r="B41" s="788" t="str">
        <f t="shared" ca="1" si="2"/>
        <v>Finalewedstrijden</v>
      </c>
      <c r="C41" s="538" t="s">
        <v>119</v>
      </c>
      <c r="D41" s="538" t="s">
        <v>120</v>
      </c>
      <c r="E41" s="538" t="s">
        <v>121</v>
      </c>
      <c r="F41" s="538" t="s">
        <v>122</v>
      </c>
    </row>
    <row r="42" spans="1:6" s="537" customFormat="1" x14ac:dyDescent="0.25">
      <c r="A42" s="550" t="str">
        <f t="shared" si="0"/>
        <v>01-A-037</v>
      </c>
      <c r="B42" s="787" t="str">
        <f t="shared" ca="1" si="2"/>
        <v>Bonusvragen</v>
      </c>
      <c r="C42" s="537" t="s">
        <v>123</v>
      </c>
      <c r="D42" s="537" t="s">
        <v>124</v>
      </c>
      <c r="E42" s="537" t="s">
        <v>125</v>
      </c>
      <c r="F42" s="537" t="s">
        <v>126</v>
      </c>
    </row>
    <row r="43" spans="1:6" s="538" customFormat="1" x14ac:dyDescent="0.25">
      <c r="A43" s="549" t="str">
        <f t="shared" si="0"/>
        <v>01-A-038</v>
      </c>
      <c r="B43" s="788" t="str">
        <f t="shared" ca="1" si="2"/>
        <v>Deelnamecode</v>
      </c>
      <c r="C43" s="538" t="s">
        <v>127</v>
      </c>
      <c r="D43" s="538" t="s">
        <v>128</v>
      </c>
      <c r="E43" s="538" t="s">
        <v>129</v>
      </c>
      <c r="F43" s="538" t="s">
        <v>130</v>
      </c>
    </row>
    <row r="44" spans="1:6" s="554" customFormat="1" x14ac:dyDescent="0.25">
      <c r="A44" s="552" t="str">
        <f t="shared" si="0"/>
        <v>01-A-039</v>
      </c>
      <c r="B44" s="803" t="str">
        <f t="shared" ca="1" si="2"/>
        <v>Reglement Display</v>
      </c>
      <c r="C44" s="554" t="s">
        <v>131</v>
      </c>
      <c r="D44" s="554" t="s">
        <v>132</v>
      </c>
      <c r="E44" s="554" t="s">
        <v>133</v>
      </c>
      <c r="F44" s="554" t="s">
        <v>134</v>
      </c>
    </row>
    <row r="45" spans="1:6" s="553" customFormat="1" x14ac:dyDescent="0.25">
      <c r="A45" s="551" t="str">
        <f t="shared" si="0"/>
        <v>01-A-040</v>
      </c>
      <c r="B45" s="802" t="str">
        <f t="shared" ca="1" si="2"/>
        <v>Beheerders Display</v>
      </c>
      <c r="C45" s="553" t="s">
        <v>135</v>
      </c>
      <c r="D45" s="553" t="s">
        <v>136</v>
      </c>
      <c r="E45" s="553" t="s">
        <v>137</v>
      </c>
      <c r="F45" s="553" t="s">
        <v>138</v>
      </c>
    </row>
    <row r="46" spans="1:6" s="554" customFormat="1" x14ac:dyDescent="0.25">
      <c r="A46" s="552" t="str">
        <f t="shared" si="0"/>
        <v>01-A-041</v>
      </c>
      <c r="B46" s="803" t="str">
        <f t="shared" ca="1" si="2"/>
        <v>Uitslagen</v>
      </c>
      <c r="C46" s="554" t="s">
        <v>139</v>
      </c>
      <c r="D46" s="554" t="s">
        <v>140</v>
      </c>
      <c r="E46" s="554" t="s">
        <v>141</v>
      </c>
      <c r="F46" s="554" t="s">
        <v>142</v>
      </c>
    </row>
    <row r="47" spans="1:6" s="553" customFormat="1" x14ac:dyDescent="0.25">
      <c r="A47" s="551" t="str">
        <f t="shared" si="0"/>
        <v>01-A-042</v>
      </c>
      <c r="B47" s="802" t="str">
        <f t="shared" ca="1" si="2"/>
        <v>Openvragen</v>
      </c>
      <c r="C47" s="553" t="s">
        <v>143</v>
      </c>
      <c r="D47" s="553" t="s">
        <v>144</v>
      </c>
      <c r="E47" s="553" t="s">
        <v>145</v>
      </c>
      <c r="F47" s="553" t="s">
        <v>146</v>
      </c>
    </row>
    <row r="48" spans="1:6" s="537" customFormat="1" x14ac:dyDescent="0.25">
      <c r="A48" s="550" t="str">
        <f t="shared" si="0"/>
        <v>01-A-043</v>
      </c>
      <c r="B48" s="787" t="str">
        <f t="shared" ca="1" si="2"/>
        <v>Punten Groepswedstrijden</v>
      </c>
      <c r="C48" s="537" t="s">
        <v>147</v>
      </c>
      <c r="D48" s="537" t="s">
        <v>148</v>
      </c>
      <c r="E48" s="537" t="s">
        <v>149</v>
      </c>
      <c r="F48" s="537" t="s">
        <v>150</v>
      </c>
    </row>
    <row r="49" spans="1:6" s="538" customFormat="1" x14ac:dyDescent="0.25">
      <c r="A49" s="549" t="str">
        <f t="shared" si="0"/>
        <v>01-A-044</v>
      </c>
      <c r="B49" s="788" t="str">
        <f t="shared" ca="1" si="2"/>
        <v>Punten Eindstand Groepsdase</v>
      </c>
      <c r="C49" s="538" t="s">
        <v>151</v>
      </c>
      <c r="D49" s="538" t="s">
        <v>152</v>
      </c>
      <c r="E49" s="538" t="s">
        <v>153</v>
      </c>
      <c r="F49" s="538" t="s">
        <v>154</v>
      </c>
    </row>
    <row r="50" spans="1:6" s="537" customFormat="1" x14ac:dyDescent="0.25">
      <c r="A50" s="550" t="str">
        <f t="shared" si="0"/>
        <v>01-A-045</v>
      </c>
      <c r="B50" s="787" t="str">
        <f t="shared" ca="1" si="2"/>
        <v>Punten Finalewedstrijden</v>
      </c>
      <c r="C50" s="537" t="s">
        <v>155</v>
      </c>
      <c r="D50" s="537" t="s">
        <v>156</v>
      </c>
      <c r="E50" s="537" t="s">
        <v>157</v>
      </c>
      <c r="F50" s="537" t="s">
        <v>158</v>
      </c>
    </row>
    <row r="51" spans="1:6" s="538" customFormat="1" x14ac:dyDescent="0.25">
      <c r="A51" s="549" t="str">
        <f t="shared" si="0"/>
        <v>01-A-046</v>
      </c>
      <c r="B51" s="788" t="str">
        <f t="shared" ca="1" si="2"/>
        <v>Punten Bonusvragen</v>
      </c>
      <c r="C51" s="538" t="s">
        <v>159</v>
      </c>
      <c r="D51" s="538" t="s">
        <v>160</v>
      </c>
      <c r="E51" s="538" t="s">
        <v>161</v>
      </c>
      <c r="F51" s="538" t="s">
        <v>162</v>
      </c>
    </row>
    <row r="52" spans="1:6" s="537" customFormat="1" x14ac:dyDescent="0.25">
      <c r="A52" s="550" t="str">
        <f t="shared" si="0"/>
        <v>01-A-047</v>
      </c>
      <c r="B52" s="787" t="str">
        <f t="shared" ca="1" si="2"/>
        <v>Ranglijst</v>
      </c>
      <c r="C52" s="537" t="s">
        <v>163</v>
      </c>
      <c r="D52" s="537" t="s">
        <v>164</v>
      </c>
      <c r="E52" s="537" t="s">
        <v>165</v>
      </c>
      <c r="F52" s="537" t="s">
        <v>164</v>
      </c>
    </row>
    <row r="53" spans="1:6" s="538" customFormat="1" x14ac:dyDescent="0.25">
      <c r="A53" s="549" t="str">
        <f t="shared" si="0"/>
        <v>01-A-048</v>
      </c>
      <c r="B53" s="788" t="str">
        <f t="shared" ca="1" si="2"/>
        <v>Voorspellingen</v>
      </c>
      <c r="C53" s="538" t="s">
        <v>166</v>
      </c>
      <c r="D53" s="538" t="s">
        <v>167</v>
      </c>
      <c r="E53" s="538" t="s">
        <v>168</v>
      </c>
      <c r="F53" s="538" t="s">
        <v>169</v>
      </c>
    </row>
    <row r="54" spans="1:6" s="554" customFormat="1" x14ac:dyDescent="0.25">
      <c r="A54" s="552" t="str">
        <f t="shared" si="0"/>
        <v>01-A-049</v>
      </c>
      <c r="B54" s="803" t="str">
        <f t="shared" ca="1" si="2"/>
        <v>Kladblok</v>
      </c>
      <c r="C54" s="554" t="s">
        <v>170</v>
      </c>
      <c r="D54" s="554" t="s">
        <v>171</v>
      </c>
      <c r="E54" s="554" t="s">
        <v>172</v>
      </c>
      <c r="F54" s="554" t="s">
        <v>173</v>
      </c>
    </row>
    <row r="55" spans="1:6" s="553" customFormat="1" x14ac:dyDescent="0.25">
      <c r="A55" s="549" t="str">
        <f t="shared" si="0"/>
        <v>01-A-050</v>
      </c>
      <c r="B55" s="788" t="str">
        <f t="shared" ca="1" si="2"/>
        <v>Teams Instellen</v>
      </c>
      <c r="C55" s="538" t="s">
        <v>174</v>
      </c>
      <c r="D55" s="538" t="s">
        <v>175</v>
      </c>
      <c r="E55" s="538" t="s">
        <v>176</v>
      </c>
      <c r="F55" s="538" t="s">
        <v>177</v>
      </c>
    </row>
    <row r="56" spans="1:6" s="554" customFormat="1" x14ac:dyDescent="0.25">
      <c r="A56" s="550" t="str">
        <f t="shared" si="0"/>
        <v>01-A-051</v>
      </c>
      <c r="B56" s="787" t="str">
        <f t="shared" ca="1" si="2"/>
        <v>Teams</v>
      </c>
      <c r="C56" s="537" t="s">
        <v>178</v>
      </c>
      <c r="D56" s="537" t="s">
        <v>178</v>
      </c>
      <c r="E56" s="537" t="s">
        <v>178</v>
      </c>
      <c r="F56" s="537" t="s">
        <v>179</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180</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181</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182</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183</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184</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8" t="s">
        <v>2257</v>
      </c>
      <c r="AC2" s="1228"/>
      <c r="AD2" s="1228"/>
      <c r="AE2" s="1228"/>
      <c r="AF2" s="1228"/>
      <c r="AG2" s="1228"/>
      <c r="AH2" s="1226" t="s">
        <v>2258</v>
      </c>
      <c r="AI2" s="1226"/>
      <c r="AJ2" s="1226"/>
      <c r="AK2" s="1227" t="s">
        <v>2259</v>
      </c>
      <c r="AL2" s="1227"/>
      <c r="AM2" s="1227"/>
      <c r="AN2" s="1227"/>
      <c r="AO2" s="1227"/>
      <c r="AP2" s="91"/>
      <c r="AQ2" s="1220" t="s">
        <v>2260</v>
      </c>
      <c r="AR2" s="1221"/>
      <c r="AS2" s="1221"/>
      <c r="AT2" s="1221"/>
      <c r="AU2" s="1221"/>
      <c r="AV2" s="1221"/>
      <c r="AW2" s="1221"/>
      <c r="AX2" s="1221"/>
      <c r="AY2" s="1221"/>
      <c r="AZ2" s="1221"/>
      <c r="BA2" s="1222"/>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8"/>
      <c r="AC3" s="1228"/>
      <c r="AD3" s="1228"/>
      <c r="AE3" s="1228"/>
      <c r="AF3" s="1228"/>
      <c r="AG3" s="1228"/>
      <c r="AH3" s="1226"/>
      <c r="AI3" s="1226"/>
      <c r="AJ3" s="1226"/>
      <c r="AK3" s="1227"/>
      <c r="AL3" s="1227"/>
      <c r="AM3" s="1227"/>
      <c r="AN3" s="1227"/>
      <c r="AO3" s="1227"/>
      <c r="AP3" s="91"/>
      <c r="AQ3" s="1223"/>
      <c r="AR3" s="1224"/>
      <c r="AS3" s="1224"/>
      <c r="AT3" s="1224"/>
      <c r="AU3" s="1224"/>
      <c r="AV3" s="1224"/>
      <c r="AW3" s="1224"/>
      <c r="AX3" s="1224"/>
      <c r="AY3" s="1224"/>
      <c r="AZ3" s="1224"/>
      <c r="BA3" s="1225"/>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8"/>
      <c r="AC4" s="1228"/>
      <c r="AD4" s="1228"/>
      <c r="AE4" s="1228"/>
      <c r="AF4" s="1228"/>
      <c r="AG4" s="1228"/>
      <c r="AH4" s="1226"/>
      <c r="AI4" s="1226"/>
      <c r="AJ4" s="1226"/>
      <c r="AK4" s="1227"/>
      <c r="AL4" s="1227"/>
      <c r="AM4" s="1227"/>
      <c r="AN4" s="1227"/>
      <c r="AO4" s="1227"/>
      <c r="AP4" s="91"/>
      <c r="AQ4" s="1217" t="s">
        <v>2261</v>
      </c>
      <c r="AR4" s="1218"/>
      <c r="AS4" s="1218"/>
      <c r="AT4" s="1218"/>
      <c r="AU4" s="1218"/>
      <c r="AV4" s="1218"/>
      <c r="AW4" s="1218"/>
      <c r="AX4" s="1218"/>
      <c r="AY4" s="1218"/>
      <c r="AZ4" s="1218"/>
      <c r="BA4" s="1219"/>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2" t="s">
        <v>2262</v>
      </c>
      <c r="AI5" s="1232"/>
      <c r="AJ5" s="1232"/>
      <c r="AK5" s="1229" t="s">
        <v>2263</v>
      </c>
      <c r="AL5" s="1229"/>
      <c r="AM5" s="1229"/>
      <c r="AN5" s="1229"/>
      <c r="AO5" s="1229"/>
      <c r="AP5" s="1230" t="s">
        <v>2210</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9"/>
      <c r="AL6" s="1229"/>
      <c r="AM6" s="1229"/>
      <c r="AN6" s="1229"/>
      <c r="AO6" s="1229"/>
      <c r="AP6" s="1230"/>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1" t="s">
        <v>2264</v>
      </c>
      <c r="AI8" s="1231"/>
      <c r="AJ8" s="1231"/>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13" t="s">
        <v>1075</v>
      </c>
      <c r="E9" s="1214"/>
      <c r="F9" s="1214"/>
      <c r="G9" s="1214"/>
      <c r="H9" s="1214"/>
      <c r="I9" s="1214"/>
      <c r="J9" s="1214"/>
      <c r="K9" s="730" t="s">
        <v>2228</v>
      </c>
      <c r="L9" s="1215"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15"/>
      <c r="N9" s="1215"/>
      <c r="O9" s="1215"/>
      <c r="P9" s="1215"/>
      <c r="Q9" s="1215"/>
      <c r="R9" s="1215"/>
      <c r="S9" s="1215"/>
      <c r="T9" s="1215"/>
      <c r="U9" s="1215"/>
      <c r="V9" s="1215"/>
      <c r="W9" s="1215"/>
      <c r="X9" s="1215"/>
      <c r="Y9" s="1215"/>
      <c r="Z9" s="957"/>
      <c r="AA9" s="17"/>
      <c r="AB9" s="109">
        <f ca="1">IF(COUNTIF(Taal04!34:34,D9)&gt;0,1,IF(COUNTIF(Taal04!35:35,D9)&gt;0,2,3))</f>
        <v>1</v>
      </c>
      <c r="AC9" s="727" t="s">
        <v>2236</v>
      </c>
      <c r="AD9" s="90"/>
      <c r="AE9" s="90"/>
      <c r="AF9" s="90"/>
      <c r="AG9" s="90"/>
      <c r="AH9" s="1231"/>
      <c r="AI9" s="1231"/>
      <c r="AJ9" s="1231"/>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15"/>
      <c r="M10" s="1215"/>
      <c r="N10" s="1215"/>
      <c r="O10" s="1215"/>
      <c r="P10" s="1215"/>
      <c r="Q10" s="1215"/>
      <c r="R10" s="1215"/>
      <c r="S10" s="1215"/>
      <c r="T10" s="1215"/>
      <c r="U10" s="1215"/>
      <c r="V10" s="1215"/>
      <c r="W10" s="1215"/>
      <c r="X10" s="1215"/>
      <c r="Y10" s="1215"/>
      <c r="Z10" s="957"/>
      <c r="AA10" s="17"/>
      <c r="AB10" s="174"/>
      <c r="AC10" s="175"/>
      <c r="AD10" s="90"/>
      <c r="AE10" s="90"/>
      <c r="AF10" s="90"/>
      <c r="AG10" s="90"/>
      <c r="AH10" s="1231"/>
      <c r="AI10" s="1231"/>
      <c r="AJ10" s="1231"/>
      <c r="AK10" s="141"/>
      <c r="AL10" s="141"/>
      <c r="AM10" s="141"/>
      <c r="AN10" s="141"/>
      <c r="AO10" s="141"/>
      <c r="AP10" s="91"/>
      <c r="AQ10" s="837"/>
      <c r="AR10" s="838"/>
      <c r="AS10" s="669"/>
      <c r="AT10" s="289" t="s">
        <v>422</v>
      </c>
      <c r="AU10" s="669"/>
      <c r="AV10" s="289" t="s">
        <v>423</v>
      </c>
      <c r="AW10" s="669"/>
      <c r="AX10" s="289" t="s">
        <v>424</v>
      </c>
      <c r="AY10" s="669"/>
      <c r="AZ10" s="289" t="s">
        <v>425</v>
      </c>
      <c r="BA10" s="670"/>
    </row>
    <row r="11" spans="1:59" ht="30" customHeight="1" x14ac:dyDescent="0.25">
      <c r="A11" s="173"/>
      <c r="B11" s="17"/>
      <c r="C11" s="949"/>
      <c r="D11" s="1216" t="str">
        <f ca="1">Taal04!$B$27</f>
        <v>Achtste Finale</v>
      </c>
      <c r="E11" s="1216"/>
      <c r="F11" s="1216"/>
      <c r="G11" s="1216"/>
      <c r="H11" s="1216"/>
      <c r="I11" s="1216"/>
      <c r="J11" s="1216"/>
      <c r="K11" s="1216"/>
      <c r="L11" s="1215"/>
      <c r="M11" s="1215"/>
      <c r="N11" s="1215"/>
      <c r="O11" s="1215"/>
      <c r="P11" s="1215"/>
      <c r="Q11" s="1215"/>
      <c r="R11" s="1215"/>
      <c r="S11" s="1215"/>
      <c r="T11" s="1215"/>
      <c r="U11" s="1215"/>
      <c r="V11" s="1215"/>
      <c r="W11" s="1215"/>
      <c r="X11" s="1215"/>
      <c r="Y11" s="1215"/>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195" t="s">
        <v>2265</v>
      </c>
      <c r="AL11" s="1195"/>
      <c r="AM11" s="1195"/>
      <c r="AN11" s="1195"/>
      <c r="AO11" s="1195"/>
      <c r="AP11" s="91"/>
      <c r="AQ11" s="841" t="str">
        <f>REPT("─",16)</f>
        <v>────────────────</v>
      </c>
      <c r="AR11" s="842" t="s">
        <v>2266</v>
      </c>
      <c r="AS11" s="291" t="str">
        <f ca="1">IF(AT11=$AR$11,$AQ$11,IF(AT11=$AR$12,$AQ$12,VLOOKUP(AT11,Voorblad!$X$67:$Z$98,2,FALSE)))</f>
        <v>Oostenrijk</v>
      </c>
      <c r="AT11" s="292" t="str">
        <f ca="1">RIGHT(LEFT($AL$88,$BA11),2)</f>
        <v>D3</v>
      </c>
      <c r="AU11" s="291" t="str">
        <f ca="1">IF(AV11=$AR$11,$AQ$11,IF(AV11=$AR$12,$AQ$12,VLOOKUP(AV11,Voorblad!$X$67:$Z$98,2,FALSE)))</f>
        <v>Hongarije</v>
      </c>
      <c r="AV11" s="292" t="str">
        <f ca="1">RIGHT(LEFT($AL$89,$BA11),2)</f>
        <v>A3</v>
      </c>
      <c r="AW11" s="291" t="str">
        <f ca="1">IF(AX11=$AR$11,$AQ$11,IF(AX11=$AR$12,$AQ$12,VLOOKUP(AX11,Voorblad!$X$67:$Z$98,2,FALSE)))</f>
        <v>Hongarije</v>
      </c>
      <c r="AX11" s="292" t="str">
        <f ca="1">RIGHT(LEFT($AL$91,$BA11),2)</f>
        <v>A3</v>
      </c>
      <c r="AY11" s="291" t="str">
        <f ca="1">IF(AZ11=$AR$11,$AQ$11,IF(AZ11=$AR$12,$AQ$12,VLOOKUP(AZ11,Voorblad!$X$67:$Z$98,2,FALSE)))</f>
        <v>Hongarije</v>
      </c>
      <c r="AZ11" s="292" t="str">
        <f ca="1">RIGHT(LEFT($AL$92,$BA11),2)</f>
        <v>A3</v>
      </c>
      <c r="BA11" s="671">
        <v>2</v>
      </c>
    </row>
    <row r="12" spans="1:59" ht="15" customHeight="1" x14ac:dyDescent="0.25">
      <c r="A12" s="173"/>
      <c r="B12" s="17"/>
      <c r="C12" s="949"/>
      <c r="D12" s="1216"/>
      <c r="E12" s="1216"/>
      <c r="F12" s="1216"/>
      <c r="G12" s="1216"/>
      <c r="H12" s="1216"/>
      <c r="I12" s="1216"/>
      <c r="J12" s="1216"/>
      <c r="K12" s="1216"/>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2256</v>
      </c>
      <c r="AJ12" s="736"/>
      <c r="AK12" s="1195"/>
      <c r="AL12" s="1195"/>
      <c r="AM12" s="1195"/>
      <c r="AN12" s="1195"/>
      <c r="AO12" s="1195"/>
      <c r="AP12" s="91"/>
      <c r="AQ12" s="839" t="str">
        <f>""</f>
        <v/>
      </c>
      <c r="AR12" s="840" t="s">
        <v>2267</v>
      </c>
      <c r="AS12" s="291" t="str">
        <f ca="1">IF(AT12=$AR$11,$AQ$11,IF(AT12=$AR$12,$AQ$12,VLOOKUP(AT12,Voorblad!$X$67:$Z$98,2,FALSE)))</f>
        <v>Slowakije</v>
      </c>
      <c r="AT12" s="292" t="str">
        <f t="shared" ref="AT12:AT27" ca="1" si="0">RIGHT(LEFT($AL$88,$BA12),2)</f>
        <v>E2</v>
      </c>
      <c r="AU12" s="291" t="str">
        <f ca="1">IF(AV12=$AR$11,$AQ$11,IF(AV12=$AR$12,$AQ$12,VLOOKUP(AV12,Voorblad!$X$67:$Z$98,2,FALSE)))</f>
        <v>Oostenrijk</v>
      </c>
      <c r="AV12" s="292" t="str">
        <f t="shared" ref="AV12:AV27" ca="1" si="1">RIGHT(LEFT($AL$89,$BA12),2)</f>
        <v>D3</v>
      </c>
      <c r="AW12" s="291" t="str">
        <f ca="1">IF(AX12=$AR$11,$AQ$11,IF(AX12=$AR$12,$AQ$12,VLOOKUP(AX12,Voorblad!$X$67:$Z$98,2,FALSE)))</f>
        <v>Kroatië</v>
      </c>
      <c r="AX12" s="292" t="str">
        <f t="shared" ref="AX12:AX27" ca="1" si="2">RIGHT(LEFT($AL$91,$BA12),2)</f>
        <v>B2</v>
      </c>
      <c r="AY12" s="291" t="str">
        <f ca="1">IF(AZ12=$AR$11,$AQ$11,IF(AZ12=$AR$12,$AQ$12,VLOOKUP(AZ12,Voorblad!$X$67:$Z$98,2,FALSE)))</f>
        <v>Kroatië</v>
      </c>
      <c r="AZ12" s="292" t="str">
        <f t="shared" ref="AZ12:AZ23" ca="1" si="3">RIGHT(LEFT($AL$92,$BA12),2)</f>
        <v>B2</v>
      </c>
      <c r="BA12" s="672">
        <f t="shared" ref="BA12:BA27" si="4">BA11+2</f>
        <v>4</v>
      </c>
    </row>
    <row r="13" spans="1:59" ht="15" customHeight="1" x14ac:dyDescent="0.25">
      <c r="A13" s="173"/>
      <c r="B13" s="17"/>
      <c r="C13" s="949"/>
      <c r="D13" s="17"/>
      <c r="E13" s="939" t="str">
        <f ca="1">Taal04!$B$20</f>
        <v>Datum</v>
      </c>
      <c r="F13" s="939" t="str">
        <f ca="1">Taal04!$B$21</f>
        <v>Tijd</v>
      </c>
      <c r="G13" s="1212" t="str">
        <f ca="1">Taal04!$B$22</f>
        <v>Wedstrijd</v>
      </c>
      <c r="H13" s="1212"/>
      <c r="I13" s="1212"/>
      <c r="J13" s="1212"/>
      <c r="K13" s="1212"/>
      <c r="L13" s="1212"/>
      <c r="M13" s="1212"/>
      <c r="N13" s="1212"/>
      <c r="O13" s="1212"/>
      <c r="P13" s="1212"/>
      <c r="Q13" s="1212"/>
      <c r="R13" s="1212"/>
      <c r="S13" s="1212"/>
      <c r="T13" s="1212"/>
      <c r="U13" s="1212"/>
      <c r="V13" s="17"/>
      <c r="W13" s="1142" t="str">
        <f ca="1">Taal04!$B$24</f>
        <v>Eindstand</v>
      </c>
      <c r="X13" s="1143"/>
      <c r="Y13" s="1143"/>
      <c r="Z13" s="60"/>
      <c r="AA13" s="17"/>
      <c r="AB13" s="850"/>
      <c r="AC13" s="235" t="s">
        <v>2142</v>
      </c>
      <c r="AD13" s="235" t="s">
        <v>1845</v>
      </c>
      <c r="AE13" s="235" t="s">
        <v>2142</v>
      </c>
      <c r="AF13" s="235" t="s">
        <v>1845</v>
      </c>
      <c r="AG13" s="5"/>
      <c r="AH13" s="10" t="s">
        <v>1045</v>
      </c>
      <c r="AI13" s="5"/>
      <c r="AJ13" s="10" t="s">
        <v>1045</v>
      </c>
      <c r="AK13" s="4" t="s">
        <v>2268</v>
      </c>
      <c r="AL13" s="4" t="s">
        <v>2269</v>
      </c>
      <c r="AM13" s="4" t="s">
        <v>2187</v>
      </c>
      <c r="AN13" s="4" t="s">
        <v>2188</v>
      </c>
      <c r="AO13" s="138" t="s">
        <v>2142</v>
      </c>
      <c r="AP13" s="91"/>
      <c r="AQ13" s="287"/>
      <c r="AR13" s="289" t="s">
        <v>2270</v>
      </c>
      <c r="AS13" s="291" t="str">
        <f ca="1">IF(AT13=$AR$11,$AQ$11,IF(AT13=$AR$12,$AQ$12,VLOOKUP(AT13,Voorblad!$X$67:$Z$98,2,FALSE)))</f>
        <v>Tsjechië</v>
      </c>
      <c r="AT13" s="292" t="str">
        <f t="shared" ca="1" si="0"/>
        <v>F4</v>
      </c>
      <c r="AU13" s="291" t="str">
        <f ca="1">IF(AV13=$AR$11,$AQ$11,IF(AV13=$AR$12,$AQ$12,VLOOKUP(AV13,Voorblad!$X$67:$Z$98,2,FALSE)))</f>
        <v>Slowakije</v>
      </c>
      <c r="AV13" s="292" t="str">
        <f t="shared" ca="1" si="1"/>
        <v>E2</v>
      </c>
      <c r="AW13" s="291" t="str">
        <f ca="1">IF(AX13=$AR$11,$AQ$11,IF(AX13=$AR$12,$AQ$12,VLOOKUP(AX13,Voorblad!$X$67:$Z$98,2,FALSE)))</f>
        <v>Servië</v>
      </c>
      <c r="AX13" s="292" t="str">
        <f t="shared" ca="1" si="2"/>
        <v>C3</v>
      </c>
      <c r="AY13" s="291" t="str">
        <f ca="1">IF(AZ13=$AR$11,$AQ$11,IF(AZ13=$AR$12,$AQ$12,VLOOKUP(AZ13,Voorblad!$X$67:$Z$98,2,FALSE)))</f>
        <v>Oostenrijk</v>
      </c>
      <c r="AZ13" s="292" t="str">
        <f t="shared" ca="1" si="3"/>
        <v>D3</v>
      </c>
      <c r="BA13" s="672">
        <f t="shared" si="4"/>
        <v>6</v>
      </c>
    </row>
    <row r="14" spans="1:59" ht="15" customHeight="1" x14ac:dyDescent="0.25">
      <c r="A14" s="173"/>
      <c r="B14" s="17"/>
      <c r="C14" s="949"/>
      <c r="D14" s="6">
        <v>38</v>
      </c>
      <c r="E14" s="11">
        <f>DATE(2024,6,29)+TIME(18,0,0)</f>
        <v>45472.75</v>
      </c>
      <c r="F14" s="134">
        <f>E14+TIME(0,0,0)</f>
        <v>45472.75</v>
      </c>
      <c r="G14" s="1192" t="str">
        <f ca="1">" "&amp;Taal04!$B$75&amp;" A"</f>
        <v xml:space="preserve"> Nr.2 Groep A</v>
      </c>
      <c r="H14" s="1192"/>
      <c r="I14" s="1192"/>
      <c r="J14" s="1192"/>
      <c r="K14" s="1192"/>
      <c r="L14" s="668" t="s">
        <v>197</v>
      </c>
      <c r="M14" s="12"/>
      <c r="N14" s="666" t="str">
        <f ca="1">IF(AK14="LEEG","▼   ","")&amp;"-  "</f>
        <v xml:space="preserve">-  </v>
      </c>
      <c r="O14" s="1192" t="str">
        <f ca="1">" "&amp;Taal04!$B$75&amp;" B"</f>
        <v xml:space="preserve"> Nr.2 Groep B</v>
      </c>
      <c r="P14" s="1192"/>
      <c r="Q14" s="1192"/>
      <c r="R14" s="1192"/>
      <c r="S14" s="1192"/>
      <c r="T14" s="1192"/>
      <c r="U14" s="667" t="s">
        <v>210</v>
      </c>
      <c r="V14" s="666" t="str">
        <f ca="1">IF(AL14="LEEG","▼   ","")&amp;": "</f>
        <v xml:space="preserve">: </v>
      </c>
      <c r="W14" s="738">
        <v>0</v>
      </c>
      <c r="X14" s="940" t="s">
        <v>2189</v>
      </c>
      <c r="Y14" s="738">
        <v>2</v>
      </c>
      <c r="Z14" s="60"/>
      <c r="AA14" s="17"/>
      <c r="AB14" s="851">
        <f>IF(AND(AM14="GOED",AN14="GOED"),W14+Y14,0)</f>
        <v>2</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B3</v>
      </c>
      <c r="AF14" s="235" t="str">
        <f ca="1">IF(AE14="OO","LEEG",IF(AE14="XX","FOUT",VLOOKUP(AE14,Voorblad!$X$65:$Z$98,3,FALSE)))</f>
        <v>IT</v>
      </c>
      <c r="AG14" s="5"/>
      <c r="AH14" s="10" t="s">
        <v>1903</v>
      </c>
      <c r="AI14" s="10" t="s">
        <v>2189</v>
      </c>
      <c r="AJ14" s="10" t="s">
        <v>1919</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CHIT02|</v>
      </c>
      <c r="AP14" s="91">
        <f ca="1">LEN(AO14)</f>
        <v>7</v>
      </c>
      <c r="AQ14" s="291" t="str">
        <f ca="1">VLOOKUP(AR14,Voorblad!$X$67:$Z$98,2,FALSE)</f>
        <v>Duitsland</v>
      </c>
      <c r="AR14" s="292" t="s">
        <v>1899</v>
      </c>
      <c r="AS14" s="291" t="str">
        <f ca="1">IF(AT14=$AR$11,$AQ$11,IF(AT14=$AR$12,$AQ$12,VLOOKUP(AT14,Voorblad!$X$67:$Z$98,2,FALSE)))</f>
        <v>────────────────</v>
      </c>
      <c r="AT14" s="292" t="str">
        <f t="shared" ca="1" si="0"/>
        <v>&amp;&amp;</v>
      </c>
      <c r="AU14" s="291" t="str">
        <f ca="1">IF(AV14=$AR$11,$AQ$11,IF(AV14=$AR$12,$AQ$12,VLOOKUP(AV14,Voorblad!$X$67:$Z$98,2,FALSE)))</f>
        <v>Tsjechië</v>
      </c>
      <c r="AV14" s="292" t="str">
        <f t="shared" ca="1" si="1"/>
        <v>F4</v>
      </c>
      <c r="AW14" s="291" t="str">
        <f ca="1">IF(AX14=$AR$11,$AQ$11,IF(AX14=$AR$12,$AQ$12,VLOOKUP(AX14,Voorblad!$X$67:$Z$98,2,FALSE)))</f>
        <v>────────────────</v>
      </c>
      <c r="AX14" s="292" t="str">
        <f t="shared" ca="1" si="2"/>
        <v>&amp;&amp;</v>
      </c>
      <c r="AY14" s="291" t="str">
        <f ca="1">IF(AZ14=$AR$11,$AQ$11,IF(AZ14=$AR$12,$AQ$12,VLOOKUP(AZ14,Voorblad!$X$67:$Z$98,2,FALSE)))</f>
        <v>Servië</v>
      </c>
      <c r="AZ14" s="292" t="str">
        <f t="shared" ca="1" si="3"/>
        <v>C3</v>
      </c>
      <c r="BA14" s="672">
        <f t="shared" si="4"/>
        <v>8</v>
      </c>
    </row>
    <row r="15" spans="1:59" ht="18.95" customHeight="1" x14ac:dyDescent="0.25">
      <c r="A15" s="173"/>
      <c r="B15" s="17"/>
      <c r="C15" s="949"/>
      <c r="D15" s="17"/>
      <c r="E15" s="17"/>
      <c r="F15" s="17"/>
      <c r="G15" s="1210" t="str">
        <f ca="1">IF($AB$9=1," "&amp;AC15,IF($AB$9=2,IF(AC14="OO"," "&amp;AC15,""),""))</f>
        <v xml:space="preserve"> Zwitserland</v>
      </c>
      <c r="H15" s="1210"/>
      <c r="I15" s="1210"/>
      <c r="J15" s="1210"/>
      <c r="K15" s="1210"/>
      <c r="L15" s="1210"/>
      <c r="M15" s="17"/>
      <c r="N15" s="17"/>
      <c r="O15" s="1210" t="str">
        <f ca="1">IF($AB$9=1," "&amp;AE15,IF($AB$9=2,IF(AE14="OO"," "&amp;AE15,""),""))</f>
        <v xml:space="preserve"> Italië</v>
      </c>
      <c r="P15" s="1210"/>
      <c r="Q15" s="1210"/>
      <c r="R15" s="1210"/>
      <c r="S15" s="1210"/>
      <c r="T15" s="1210"/>
      <c r="U15" s="1210"/>
      <c r="V15" s="17"/>
      <c r="W15" s="17"/>
      <c r="X15" s="262"/>
      <c r="Y15" s="17"/>
      <c r="Z15" s="60"/>
      <c r="AA15" s="17"/>
      <c r="AB15" s="850"/>
      <c r="AC15" s="1193" t="str">
        <f ca="1">AM86</f>
        <v>Zwitserland</v>
      </c>
      <c r="AD15" s="1193"/>
      <c r="AE15" s="1193" t="str">
        <f ca="1">AO86</f>
        <v>Italië</v>
      </c>
      <c r="AF15" s="1193"/>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192" t="str">
        <f ca="1">" "&amp;Taal04!$B$74&amp;" A"</f>
        <v xml:space="preserve"> Nr.1 Groep A</v>
      </c>
      <c r="H16" s="1192"/>
      <c r="I16" s="1192"/>
      <c r="J16" s="1192"/>
      <c r="K16" s="1192"/>
      <c r="L16" s="668" t="s">
        <v>10</v>
      </c>
      <c r="M16" s="665"/>
      <c r="N16" s="666" t="str">
        <f ca="1">IF(AK16="LEEG","▼   ","")&amp;"-  "</f>
        <v xml:space="preserve">-  </v>
      </c>
      <c r="O16" s="1192" t="str">
        <f ca="1">" "&amp;Taal04!$B$75&amp;" C"</f>
        <v xml:space="preserve"> Nr.2 Groep C</v>
      </c>
      <c r="P16" s="1192"/>
      <c r="Q16" s="1192"/>
      <c r="R16" s="1192"/>
      <c r="S16" s="1192"/>
      <c r="T16" s="1192"/>
      <c r="U16" s="668" t="s">
        <v>224</v>
      </c>
      <c r="V16" s="666" t="str">
        <f ca="1">IF(AL16="LEEG","▼   ","")&amp;": "</f>
        <v xml:space="preserve">: </v>
      </c>
      <c r="W16" s="738">
        <v>3</v>
      </c>
      <c r="X16" s="940" t="s">
        <v>2189</v>
      </c>
      <c r="Y16" s="738">
        <v>1</v>
      </c>
      <c r="Z16" s="60"/>
      <c r="AA16" s="17"/>
      <c r="AB16" s="851">
        <f>IF(AND(AM16="GOED",AN16="GOED"),W16+Y16,0)</f>
        <v>4</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1899</v>
      </c>
      <c r="AI16" s="10" t="s">
        <v>2189</v>
      </c>
      <c r="AJ16" s="10" t="s">
        <v>1924</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DEDK31|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10" t="str">
        <f ca="1">IF($AB$9=1," "&amp;AC17,IF($AB$9=2,IF(AC16="OO"," "&amp;AC17,""),""))</f>
        <v xml:space="preserve"> Duitsland</v>
      </c>
      <c r="H17" s="1210"/>
      <c r="I17" s="1210"/>
      <c r="J17" s="1210"/>
      <c r="K17" s="1210"/>
      <c r="L17" s="1210"/>
      <c r="M17" s="17"/>
      <c r="N17" s="17"/>
      <c r="O17" s="1210" t="str">
        <f ca="1">IF($AB$9=1," "&amp;AE17,IF($AB$9=2,IF(AE16="OO"," "&amp;AE17,""),""))</f>
        <v xml:space="preserve"> Denemarken</v>
      </c>
      <c r="P17" s="1210"/>
      <c r="Q17" s="1210"/>
      <c r="R17" s="1210"/>
      <c r="S17" s="1210"/>
      <c r="T17" s="1210"/>
      <c r="U17" s="1210"/>
      <c r="V17" s="17"/>
      <c r="W17" s="17"/>
      <c r="X17" s="262"/>
      <c r="Y17" s="17"/>
      <c r="Z17" s="60"/>
      <c r="AA17" s="17"/>
      <c r="AB17" s="850"/>
      <c r="AC17" s="1193" t="str">
        <f ca="1">AM87</f>
        <v>Duitsland</v>
      </c>
      <c r="AD17" s="1193"/>
      <c r="AE17" s="1193" t="str">
        <f ca="1">AO87</f>
        <v>Denemarken</v>
      </c>
      <c r="AF17" s="1193"/>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1912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192" t="str">
        <f ca="1">" "&amp;Taal04!$B$74&amp;" C"</f>
        <v xml:space="preserve"> Nr.1 Groep C</v>
      </c>
      <c r="H18" s="1192"/>
      <c r="I18" s="1192"/>
      <c r="J18" s="1192"/>
      <c r="K18" s="1192"/>
      <c r="L18" s="668" t="s">
        <v>231</v>
      </c>
      <c r="M18" s="665"/>
      <c r="N18" s="666" t="str">
        <f ca="1">IF(AK18="LEEG","▼   ","")&amp;"-  "</f>
        <v xml:space="preserve">-  </v>
      </c>
      <c r="O18" s="1192" t="str">
        <f ca="1">" "&amp;Taal04!$B$76&amp;" D/E/F"</f>
        <v xml:space="preserve"> Nr.3 Groep D/E/F</v>
      </c>
      <c r="P18" s="1192"/>
      <c r="Q18" s="1192"/>
      <c r="R18" s="1192"/>
      <c r="S18" s="1192"/>
      <c r="T18" s="1192"/>
      <c r="U18" s="668" t="s">
        <v>243</v>
      </c>
      <c r="V18" s="666" t="str">
        <f ca="1">IF(AL18="LEEG","▼   ","")&amp;": "</f>
        <v xml:space="preserve">: </v>
      </c>
      <c r="W18" s="738">
        <v>4</v>
      </c>
      <c r="X18" s="940" t="s">
        <v>2189</v>
      </c>
      <c r="Y18" s="738">
        <v>1</v>
      </c>
      <c r="Z18" s="60"/>
      <c r="AA18" s="17"/>
      <c r="AB18" s="851">
        <f>IF(AND(AM18="GOED",AN18="GOED"),W18+Y18,0)</f>
        <v>5</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D3</v>
      </c>
      <c r="AF18" s="235" t="str">
        <f ca="1">IF(AE18="OO","LEEG",IF(AE18="XX","FOUT",VLOOKUP(AE18,Voorblad!$X$65:$Z$98,3,FALSE)))</f>
        <v>AT</v>
      </c>
      <c r="AG18" s="5"/>
      <c r="AH18" s="10" t="s">
        <v>1928</v>
      </c>
      <c r="AI18" s="10" t="s">
        <v>2189</v>
      </c>
      <c r="AJ18" s="10" t="s">
        <v>2271</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GBAT41|</v>
      </c>
      <c r="AP18" s="91">
        <f ca="1">LEN(AO18)</f>
        <v>7</v>
      </c>
      <c r="AQ18" s="287"/>
      <c r="AR18" s="289" t="s">
        <v>2272</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10" t="str">
        <f ca="1">IF($AB$9=1," "&amp;AC19,IF($AB$9=2,IF(AC18="OO"," "&amp;AC19,""),""))</f>
        <v xml:space="preserve"> Engeland</v>
      </c>
      <c r="H19" s="1210"/>
      <c r="I19" s="1210"/>
      <c r="J19" s="1210"/>
      <c r="K19" s="1210"/>
      <c r="L19" s="1210"/>
      <c r="M19" s="17"/>
      <c r="N19" s="17"/>
      <c r="O19" s="1210" t="str">
        <f ca="1">IF($AB$9=1," "&amp;AE19,IF($AB$9=2,IF(AE18="OO"," "&amp;AE19,""),""))</f>
        <v xml:space="preserve"> Oostenrijk / Slowakije / Tsjechië</v>
      </c>
      <c r="P19" s="1210"/>
      <c r="Q19" s="1210"/>
      <c r="R19" s="1210"/>
      <c r="S19" s="1210"/>
      <c r="T19" s="1210"/>
      <c r="U19" s="1210"/>
      <c r="V19" s="17"/>
      <c r="W19" s="17"/>
      <c r="X19" s="262"/>
      <c r="Y19" s="17"/>
      <c r="Z19" s="60"/>
      <c r="AA19" s="17"/>
      <c r="AB19" s="850"/>
      <c r="AC19" s="1193" t="str">
        <f ca="1">AM88</f>
        <v>Engeland</v>
      </c>
      <c r="AD19" s="1193"/>
      <c r="AE19" s="1193" t="str">
        <f ca="1">AO88</f>
        <v>Oostenrijk / Slowakije / Tsjechië</v>
      </c>
      <c r="AF19" s="1193"/>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Italië</v>
      </c>
      <c r="AX19" s="292" t="str">
        <f t="shared" ca="1" si="2"/>
        <v>B3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192" t="str">
        <f ca="1">" "&amp;Taal04!$B$74&amp;" B"</f>
        <v xml:space="preserve"> Nr.1 Groep B</v>
      </c>
      <c r="H20" s="1192"/>
      <c r="I20" s="1192"/>
      <c r="J20" s="1192"/>
      <c r="K20" s="1192"/>
      <c r="L20" s="667" t="s">
        <v>204</v>
      </c>
      <c r="M20" s="665"/>
      <c r="N20" s="666" t="str">
        <f ca="1">IF(AK20="LEEG","▼   ","")&amp;"-  "</f>
        <v xml:space="preserve">-  </v>
      </c>
      <c r="O20" s="1192" t="str">
        <f ca="1">" "&amp;Taal04!$B$76&amp;" A/D/E/F"</f>
        <v xml:space="preserve"> Nr.3 Groep A/D/E/F</v>
      </c>
      <c r="P20" s="1192"/>
      <c r="Q20" s="1192"/>
      <c r="R20" s="1192"/>
      <c r="S20" s="1192"/>
      <c r="T20" s="1192"/>
      <c r="U20" s="668" t="s">
        <v>280</v>
      </c>
      <c r="V20" s="666" t="str">
        <f ca="1">IF(AL20="LEEG","▼   ","")&amp;": "</f>
        <v xml:space="preserve">: </v>
      </c>
      <c r="W20" s="738">
        <v>3</v>
      </c>
      <c r="X20" s="940" t="s">
        <v>2189</v>
      </c>
      <c r="Y20" s="738">
        <v>0</v>
      </c>
      <c r="Z20" s="60"/>
      <c r="AA20" s="17"/>
      <c r="AB20" s="851">
        <f>IF(AND(AM20="GOED",AN20="GOED"),W20+Y20,0)</f>
        <v>3</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F4</v>
      </c>
      <c r="AF20" s="235" t="str">
        <f ca="1">IF(AE20="OO","LEEG",IF(AE20="XX","FOUT",VLOOKUP(AE20,Voorblad!$X$65:$Z$98,3,FALSE)))</f>
        <v>CZ</v>
      </c>
      <c r="AG20" s="5"/>
      <c r="AH20" s="10" t="s">
        <v>1915</v>
      </c>
      <c r="AI20" s="10" t="s">
        <v>2189</v>
      </c>
      <c r="AJ20" s="10" t="s">
        <v>2273</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ESCZ30|</v>
      </c>
      <c r="AP20" s="91">
        <f ca="1">LEN(AO20)</f>
        <v>7</v>
      </c>
      <c r="AQ20" s="291" t="str">
        <f ca="1">VLOOKUP(AR20,Voorblad!$X$67:$Z$98,2,FALSE)</f>
        <v>Kroatië</v>
      </c>
      <c r="AR20" s="292" t="str">
        <f>AR18&amp;2</f>
        <v>B2</v>
      </c>
      <c r="AS20" s="291" t="str">
        <f ca="1">IF(AT20=$AR$11,$AQ$11,IF(AT20=$AR$12,$AQ$12,VLOOKUP(AT20,Voorblad!$X$67:$Z$98,2,FALSE)))</f>
        <v>Polen</v>
      </c>
      <c r="AT20" s="292" t="str">
        <f t="shared" ca="1" si="0"/>
        <v>D1</v>
      </c>
      <c r="AU20" s="291" t="str">
        <f ca="1">IF(AV20=$AR$11,$AQ$11,IF(AV20=$AR$12,$AQ$12,VLOOKUP(AV20,Voorblad!$X$67:$Z$98,2,FALSE)))</f>
        <v>Nederland</v>
      </c>
      <c r="AV20" s="292" t="str">
        <f t="shared" ca="1" si="1"/>
        <v>D2</v>
      </c>
      <c r="AW20" s="291" t="str">
        <f ca="1">IF(AX20=$AR$11,$AQ$11,IF(AX20=$AR$12,$AQ$12,VLOOKUP(AX20,Voorblad!$X$67:$Z$98,2,FALSE)))</f>
        <v>Schotland</v>
      </c>
      <c r="AX20" s="292" t="str">
        <f t="shared" ca="1" si="2"/>
        <v>A2</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10" t="str">
        <f ca="1">IF($AB$9=1," "&amp;AC21,IF($AB$9=2,IF(AC20="OO"," "&amp;AC21,""),""))</f>
        <v xml:space="preserve"> Spanje</v>
      </c>
      <c r="H21" s="1210"/>
      <c r="I21" s="1210"/>
      <c r="J21" s="1210"/>
      <c r="K21" s="1210"/>
      <c r="L21" s="1210"/>
      <c r="M21" s="17"/>
      <c r="N21" s="17"/>
      <c r="O21" s="1210" t="str">
        <f ca="1">IF($AB$9=1," "&amp;AE21,IF($AB$9=2,IF(AE20="OO"," "&amp;AE21,""),""))</f>
        <v xml:space="preserve"> Hongarije / Oostenrijk / Slowakije / Tsjechië</v>
      </c>
      <c r="P21" s="1210"/>
      <c r="Q21" s="1210"/>
      <c r="R21" s="1210"/>
      <c r="S21" s="1210"/>
      <c r="T21" s="1210"/>
      <c r="U21" s="1210"/>
      <c r="V21" s="17"/>
      <c r="W21" s="17"/>
      <c r="X21" s="17"/>
      <c r="Y21" s="17"/>
      <c r="Z21" s="958"/>
      <c r="AA21" s="17"/>
      <c r="AB21" s="850"/>
      <c r="AC21" s="1193" t="str">
        <f ca="1">AM89</f>
        <v>Spanje</v>
      </c>
      <c r="AD21" s="1193"/>
      <c r="AE21" s="1193" t="str">
        <f ca="1">AO89</f>
        <v>Hongarije / Oostenrijk / Slowakije / Tsjechië</v>
      </c>
      <c r="AF21" s="1193"/>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Oekraïne</v>
      </c>
      <c r="AV21" s="292" t="str">
        <f t="shared" ca="1" si="1"/>
        <v>E4</v>
      </c>
      <c r="AW21" s="291" t="str">
        <f ca="1">IF(AX21=$AR$11,$AQ$11,IF(AX21=$AR$12,$AQ$12,VLOOKUP(AX21,Voorblad!$X$67:$Z$98,2,FALSE)))</f>
        <v>Slovenië</v>
      </c>
      <c r="AX21" s="292" t="str">
        <f t="shared" ca="1" si="2"/>
        <v>C1</v>
      </c>
      <c r="AY21" s="291" t="str">
        <f ca="1">IF(AZ21=$AR$11,$AQ$11,IF(AZ21=$AR$12,$AQ$12,VLOOKUP(AZ21,Voorblad!$X$67:$Z$98,2,FALSE)))</f>
        <v>Italië</v>
      </c>
      <c r="AZ21" s="292" t="str">
        <f t="shared" ca="1" si="3"/>
        <v>B3</v>
      </c>
      <c r="BA21" s="672">
        <f t="shared" si="4"/>
        <v>22</v>
      </c>
    </row>
    <row r="22" spans="1:53" ht="15" customHeight="1" x14ac:dyDescent="0.25">
      <c r="A22" s="173"/>
      <c r="B22" s="17"/>
      <c r="C22" s="949"/>
      <c r="D22" s="6">
        <f>D20+3</f>
        <v>42</v>
      </c>
      <c r="E22" s="11">
        <f>E18+1</f>
        <v>45474.75</v>
      </c>
      <c r="F22" s="134">
        <f>E22+TIME(0,0,0)</f>
        <v>45474.75</v>
      </c>
      <c r="G22" s="1192" t="str">
        <f ca="1">" "&amp;Taal04!$B$75&amp;" D"</f>
        <v xml:space="preserve"> Nr.2 Groep D</v>
      </c>
      <c r="H22" s="1192"/>
      <c r="I22" s="1192"/>
      <c r="J22" s="1192"/>
      <c r="K22" s="1192"/>
      <c r="L22" s="667" t="s">
        <v>239</v>
      </c>
      <c r="M22" s="665"/>
      <c r="N22" s="666" t="str">
        <f ca="1">IF(AK22="LEEG","▼   ","")&amp;"-  "</f>
        <v xml:space="preserve">-  </v>
      </c>
      <c r="O22" s="1192" t="str">
        <f ca="1">" "&amp;Taal04!$B$75&amp;" E"</f>
        <v xml:space="preserve"> Nr.2 Groep E</v>
      </c>
      <c r="P22" s="1192"/>
      <c r="Q22" s="1192"/>
      <c r="R22" s="1192"/>
      <c r="S22" s="1192"/>
      <c r="T22" s="1192"/>
      <c r="U22" s="667" t="s">
        <v>265</v>
      </c>
      <c r="V22" s="666" t="str">
        <f ca="1">IF(AL22="LEEG","▼   ","")&amp;": "</f>
        <v xml:space="preserve">: </v>
      </c>
      <c r="W22" s="738">
        <v>2</v>
      </c>
      <c r="X22" s="940" t="s">
        <v>2189</v>
      </c>
      <c r="Y22" s="738">
        <v>1</v>
      </c>
      <c r="Z22" s="958"/>
      <c r="AA22" s="17"/>
      <c r="AB22" s="851">
        <f>IF(AND(AM22="GOED",AN22="GOED"),W22+Y22,0)</f>
        <v>3</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1939</v>
      </c>
      <c r="AI22" s="10" t="s">
        <v>2189</v>
      </c>
      <c r="AJ22" s="10" t="s">
        <v>1945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NLUA21|</v>
      </c>
      <c r="AP22" s="91">
        <f ca="1">LEN(AO22)</f>
        <v>7</v>
      </c>
      <c r="AQ22" s="293" t="str">
        <f ca="1">VLOOKUP(AR22,Voorblad!$X$67:$Z$98,2,FALSE)</f>
        <v>Albanië</v>
      </c>
      <c r="AR22" s="295" t="str">
        <f>AR18&amp;4</f>
        <v>B4</v>
      </c>
      <c r="AS22" s="291" t="str">
        <f ca="1">IF(AT22=$AR$11,$AQ$11,IF(AT22=$AR$12,$AQ$12,VLOOKUP(AT22,Voorblad!$X$67:$Z$98,2,FALSE)))</f>
        <v>Roemenië</v>
      </c>
      <c r="AT22" s="292" t="str">
        <f t="shared" ca="1" si="0"/>
        <v>E3</v>
      </c>
      <c r="AU22" s="291" t="str">
        <f ca="1">IF(AV22=$AR$11,$AQ$11,IF(AV22=$AR$12,$AQ$12,VLOOKUP(AV22,Voorblad!$X$67:$Z$98,2,FALSE)))</f>
        <v>Polen</v>
      </c>
      <c r="AV22" s="292" t="str">
        <f t="shared" ca="1" si="1"/>
        <v>D1</v>
      </c>
      <c r="AW22" s="291" t="str">
        <f ca="1">IF(AX22=$AR$11,$AQ$11,IF(AX22=$AR$12,$AQ$12,VLOOKUP(AX22,Voorblad!$X$67:$Z$98,2,FALSE)))</f>
        <v>Spanje</v>
      </c>
      <c r="AX22" s="292" t="str">
        <f t="shared" ca="1" si="2"/>
        <v>B1</v>
      </c>
      <c r="AY22" s="291" t="str">
        <f ca="1">IF(AZ22=$AR$11,$AQ$11,IF(AZ22=$AR$12,$AQ$12,VLOOKUP(AZ22,Voorblad!$X$67:$Z$98,2,FALSE)))</f>
        <v>Nederland</v>
      </c>
      <c r="AZ22" s="292" t="str">
        <f t="shared" ca="1" si="3"/>
        <v>D2</v>
      </c>
      <c r="BA22" s="672">
        <f t="shared" si="4"/>
        <v>24</v>
      </c>
    </row>
    <row r="23" spans="1:53" ht="18.95" customHeight="1" x14ac:dyDescent="0.25">
      <c r="A23" s="173"/>
      <c r="B23" s="17"/>
      <c r="C23" s="949"/>
      <c r="D23" s="17"/>
      <c r="E23" s="17"/>
      <c r="F23" s="17"/>
      <c r="G23" s="1210" t="str">
        <f ca="1">IF($AB$9=1," "&amp;AC23,IF($AB$9=2,IF(AC22="OO"," "&amp;AC23,""),""))</f>
        <v xml:space="preserve"> Nederland</v>
      </c>
      <c r="H23" s="1210"/>
      <c r="I23" s="1210"/>
      <c r="J23" s="1210"/>
      <c r="K23" s="1210"/>
      <c r="L23" s="1210"/>
      <c r="M23" s="17"/>
      <c r="N23" s="17"/>
      <c r="O23" s="1210" t="str">
        <f ca="1">IF($AB$9=1," "&amp;AE23,IF($AB$9=2,IF(AE22="OO"," "&amp;AE23,""),""))</f>
        <v xml:space="preserve"> Oekraïne</v>
      </c>
      <c r="P23" s="1210"/>
      <c r="Q23" s="1210"/>
      <c r="R23" s="1210"/>
      <c r="S23" s="1210"/>
      <c r="T23" s="1210"/>
      <c r="U23" s="1210"/>
      <c r="V23" s="17"/>
      <c r="W23" s="17"/>
      <c r="X23" s="262"/>
      <c r="Y23" s="17"/>
      <c r="Z23" s="958"/>
      <c r="AA23" s="17"/>
      <c r="AB23" s="850"/>
      <c r="AC23" s="1193" t="str">
        <f ca="1">AM90</f>
        <v>Nederland</v>
      </c>
      <c r="AD23" s="1193"/>
      <c r="AE23" s="1193" t="str">
        <f ca="1">AO90</f>
        <v>Oekraïne</v>
      </c>
      <c r="AF23" s="1193"/>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435</v>
      </c>
      <c r="AS23" s="291" t="str">
        <f ca="1">IF(AT23=$AR$11,$AQ$11,IF(AT23=$AR$12,$AQ$12,VLOOKUP(AT23,Voorblad!$X$67:$Z$98,2,FALSE)))</f>
        <v>Turkije</v>
      </c>
      <c r="AT23" s="292" t="str">
        <f t="shared" ca="1" si="0"/>
        <v>F1</v>
      </c>
      <c r="AU23" s="291" t="str">
        <f ca="1">IF(AV23=$AR$11,$AQ$11,IF(AV23=$AR$12,$AQ$12,VLOOKUP(AV23,Voorblad!$X$67:$Z$98,2,FALSE)))</f>
        <v>Portugal</v>
      </c>
      <c r="AV23" s="292" t="str">
        <f t="shared" ca="1" si="1"/>
        <v>F3</v>
      </c>
      <c r="AW23" s="291" t="str">
        <f ca="1">IF(AX23=$AR$11,$AQ$11,IF(AX23=$AR$12,$AQ$12,VLOOKUP(AX23,Voorblad!$X$67:$Z$98,2,FALSE)))</f>
        <v>Zwitserland</v>
      </c>
      <c r="AX23" s="292" t="str">
        <f t="shared" ca="1" si="2"/>
        <v>A4</v>
      </c>
      <c r="AY23" s="291" t="str">
        <f ca="1">IF(AZ23=$AR$11,$AQ$11,IF(AZ23=$AR$12,$AQ$12,VLOOKUP(AZ23,Voorblad!$X$67:$Z$98,2,FALSE)))</f>
        <v>Polen</v>
      </c>
      <c r="AZ23" s="292" t="str">
        <f t="shared" ca="1" si="3"/>
        <v>D1</v>
      </c>
      <c r="BA23" s="292">
        <f t="shared" si="4"/>
        <v>26</v>
      </c>
    </row>
    <row r="24" spans="1:53" ht="15" customHeight="1" x14ac:dyDescent="0.25">
      <c r="A24" s="173"/>
      <c r="B24" s="17"/>
      <c r="C24" s="949"/>
      <c r="D24" s="6">
        <f>D22-1</f>
        <v>41</v>
      </c>
      <c r="E24" s="11">
        <f>E20+1</f>
        <v>45474.875</v>
      </c>
      <c r="F24" s="134">
        <f>E24+TIME(0,0,0)</f>
        <v>45474.875</v>
      </c>
      <c r="G24" s="1192" t="str">
        <f ca="1">" "&amp;Taal04!$B$74&amp;" F"</f>
        <v xml:space="preserve"> Nr.1 Groep F</v>
      </c>
      <c r="H24" s="1192"/>
      <c r="I24" s="1192"/>
      <c r="J24" s="1192"/>
      <c r="K24" s="1192"/>
      <c r="L24" s="667" t="s">
        <v>279</v>
      </c>
      <c r="M24" s="665"/>
      <c r="N24" s="666" t="str">
        <f ca="1">IF(AK24="LEEG","▼   ","")&amp;"-  "</f>
        <v xml:space="preserve">-  </v>
      </c>
      <c r="O24" s="1192" t="str">
        <f ca="1">" "&amp;Taal04!$B$76&amp;" A/B/C"</f>
        <v xml:space="preserve"> Nr.3 Groep A/B/C</v>
      </c>
      <c r="P24" s="1192"/>
      <c r="Q24" s="1192"/>
      <c r="R24" s="1192"/>
      <c r="S24" s="1192"/>
      <c r="T24" s="1192"/>
      <c r="U24" s="668" t="s">
        <v>207</v>
      </c>
      <c r="V24" s="666" t="str">
        <f ca="1">IF(AL24="LEEG","▼   ","")&amp;": "</f>
        <v xml:space="preserve">: </v>
      </c>
      <c r="W24" s="738">
        <v>2</v>
      </c>
      <c r="X24" s="940" t="s">
        <v>2189</v>
      </c>
      <c r="Y24" s="738">
        <v>1</v>
      </c>
      <c r="Z24" s="958"/>
      <c r="AA24" s="17"/>
      <c r="AB24" s="851">
        <f>IF(AND(AM24="GOED",AN24="GOED"),W24+Y24,0)</f>
        <v>3</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1952</v>
      </c>
      <c r="AI24" s="10" t="s">
        <v>2189</v>
      </c>
      <c r="AJ24" s="10" t="s">
        <v>2274</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PTHR21|</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Roemenië</v>
      </c>
      <c r="AV24" s="292" t="str">
        <f t="shared" ca="1" si="1"/>
        <v>E3</v>
      </c>
      <c r="AW24" s="291" t="str">
        <f ca="1">IF(AX24=$AR$11,$AQ$11,IF(AX24=$AR$12,$AQ$12,VLOOKUP(AX24,Voorblad!$X$67:$Z$98,2,FALSE)))</f>
        <v/>
      </c>
      <c r="AX24" s="292" t="str">
        <f t="shared" ca="1" si="2"/>
        <v>??</v>
      </c>
      <c r="AY24" s="291" t="str">
        <f ca="1">IF(AZ24=$AR$11,$AQ$11,IF(AZ24=$AR$12,$AQ$12,VLOOKUP(AZ24,Voorblad!$X$67:$Z$98,2,FALSE)))</f>
        <v>Schotland</v>
      </c>
      <c r="AZ24" s="292" t="str">
        <f ca="1">RIGHT(LEFT($AL$92,$BA24),2)</f>
        <v>A2</v>
      </c>
      <c r="BA24" s="292">
        <f t="shared" si="4"/>
        <v>28</v>
      </c>
    </row>
    <row r="25" spans="1:53" ht="18.95" customHeight="1" x14ac:dyDescent="0.25">
      <c r="A25" s="173"/>
      <c r="B25" s="17"/>
      <c r="C25" s="949"/>
      <c r="D25" s="17"/>
      <c r="E25" s="17"/>
      <c r="F25" s="17"/>
      <c r="G25" s="1210" t="str">
        <f ca="1">IF($AB$9=1," "&amp;AC25,IF($AB$9=2,IF(AC24="OO"," "&amp;AC25,""),""))</f>
        <v xml:space="preserve"> Portugal</v>
      </c>
      <c r="H25" s="1210"/>
      <c r="I25" s="1210"/>
      <c r="J25" s="1210"/>
      <c r="K25" s="1210"/>
      <c r="L25" s="1210"/>
      <c r="M25" s="17"/>
      <c r="N25" s="17"/>
      <c r="O25" s="1210" t="str">
        <f ca="1">IF($AB$9=1," "&amp;AE25,IF($AB$9=2,IF(AE24="OO"," "&amp;AE25,""),""))</f>
        <v xml:space="preserve"> Hongarije / Kroatië / Servië</v>
      </c>
      <c r="P25" s="1210"/>
      <c r="Q25" s="1210"/>
      <c r="R25" s="1210"/>
      <c r="S25" s="1210"/>
      <c r="T25" s="1210"/>
      <c r="U25" s="1210"/>
      <c r="V25" s="17"/>
      <c r="W25" s="17"/>
      <c r="X25" s="262"/>
      <c r="Y25" s="17"/>
      <c r="Z25" s="958"/>
      <c r="AA25" s="17"/>
      <c r="AB25" s="850"/>
      <c r="AC25" s="1193" t="str">
        <f ca="1">AM91</f>
        <v>Portugal</v>
      </c>
      <c r="AD25" s="1193"/>
      <c r="AE25" s="1193" t="str">
        <f ca="1">AO91</f>
        <v>Hongarije / Kroatië / Servië</v>
      </c>
      <c r="AF25" s="1193"/>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Schotland</v>
      </c>
      <c r="AV25" s="292" t="str">
        <f t="shared" ca="1" si="1"/>
        <v>A2</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192" t="str">
        <f ca="1">" "&amp;Taal04!$B$74&amp;" E"</f>
        <v xml:space="preserve"> Nr.1 Groep E</v>
      </c>
      <c r="H26" s="1192"/>
      <c r="I26" s="1192"/>
      <c r="J26" s="1192"/>
      <c r="K26" s="1192"/>
      <c r="L26" s="667" t="s">
        <v>255</v>
      </c>
      <c r="M26" s="665"/>
      <c r="N26" s="666" t="str">
        <f ca="1">IF(AK26="LEEG","▼   ","")&amp;"-  "</f>
        <v xml:space="preserve">-  </v>
      </c>
      <c r="O26" s="1192" t="str">
        <f ca="1">" "&amp;Taal04!$B$76&amp;" A/B/C/D"</f>
        <v xml:space="preserve"> Nr.3 Groep A/B/C/D</v>
      </c>
      <c r="P26" s="1192"/>
      <c r="Q26" s="1192"/>
      <c r="R26" s="1192"/>
      <c r="S26" s="1192"/>
      <c r="T26" s="1192"/>
      <c r="U26" s="667" t="s">
        <v>228</v>
      </c>
      <c r="V26" s="666" t="str">
        <f ca="1">IF(AL26="LEEG","▼   ","")&amp;": "</f>
        <v xml:space="preserve">: </v>
      </c>
      <c r="W26" s="738">
        <v>1</v>
      </c>
      <c r="X26" s="940" t="s">
        <v>2189</v>
      </c>
      <c r="Y26" s="738">
        <v>0</v>
      </c>
      <c r="Z26" s="958"/>
      <c r="AA26" s="17"/>
      <c r="AB26" s="851">
        <f>IF(AND(AM26="GOED",AN26="GOED"),W26+Y26,0)</f>
        <v>1</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C3</v>
      </c>
      <c r="AF26" s="235" t="str">
        <f ca="1">IF(AE26="OO","LEEG",IF(AE26="XX","FOUT",VLOOKUP(AE26,Voorblad!$X$65:$Z$98,3,FALSE)))</f>
        <v>RS</v>
      </c>
      <c r="AG26" s="5"/>
      <c r="AH26" s="10" t="s">
        <v>1910</v>
      </c>
      <c r="AI26" s="10" t="s">
        <v>2189</v>
      </c>
      <c r="AJ26" s="10" t="s">
        <v>2275</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BERS10|</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Turkije</v>
      </c>
      <c r="AV26" s="292" t="str">
        <f t="shared" ca="1" si="1"/>
        <v>F1</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10" t="str">
        <f ca="1">IF($AB$9=1," "&amp;AC27,IF($AB$9=2,IF(AC26="OO"," "&amp;AC27,""),""))</f>
        <v xml:space="preserve"> België</v>
      </c>
      <c r="H27" s="1210"/>
      <c r="I27" s="1210"/>
      <c r="J27" s="1210"/>
      <c r="K27" s="1210"/>
      <c r="L27" s="1210"/>
      <c r="M27" s="17"/>
      <c r="N27" s="17"/>
      <c r="O27" s="1210" t="str">
        <f ca="1">IF($AB$9=1," "&amp;AE27,IF($AB$9=2,IF(AE26="OO"," "&amp;AE27,""),""))</f>
        <v xml:space="preserve"> Hongarije / Kroatië / Oostenrijk / Servië</v>
      </c>
      <c r="P27" s="1210"/>
      <c r="Q27" s="1210"/>
      <c r="R27" s="1210"/>
      <c r="S27" s="1210"/>
      <c r="T27" s="1210"/>
      <c r="U27" s="1210"/>
      <c r="V27" s="17"/>
      <c r="W27" s="17"/>
      <c r="X27" s="262"/>
      <c r="Y27" s="17"/>
      <c r="Z27" s="958"/>
      <c r="AA27" s="17"/>
      <c r="AB27" s="850"/>
      <c r="AC27" s="1193" t="str">
        <f ca="1">AM92</f>
        <v>België</v>
      </c>
      <c r="AD27" s="1193"/>
      <c r="AE27" s="1193" t="str">
        <f ca="1">AO92</f>
        <v>Hongarije / Kroatië / Oostenrijk / Servië</v>
      </c>
      <c r="AF27" s="1193"/>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192" t="str">
        <f ca="1">" "&amp;Taal04!$B$74&amp;" D"</f>
        <v xml:space="preserve"> Nr.1 Groep D</v>
      </c>
      <c r="H28" s="1192"/>
      <c r="I28" s="1192"/>
      <c r="J28" s="1192"/>
      <c r="K28" s="1192"/>
      <c r="L28" s="667" t="s">
        <v>247</v>
      </c>
      <c r="M28" s="665"/>
      <c r="N28" s="666" t="str">
        <f ca="1">IF(AK28="LEEG","▼   ","")&amp;"-  "</f>
        <v xml:space="preserve">-  </v>
      </c>
      <c r="O28" s="1192" t="str">
        <f ca="1">" "&amp;Taal04!$B$75&amp;" F"</f>
        <v xml:space="preserve"> Nr.2 Groep F</v>
      </c>
      <c r="P28" s="1192"/>
      <c r="Q28" s="1192"/>
      <c r="R28" s="1192"/>
      <c r="S28" s="1192"/>
      <c r="T28" s="1192"/>
      <c r="U28" s="668" t="s">
        <v>272</v>
      </c>
      <c r="V28" s="666" t="str">
        <f ca="1">IF(AL28="LEEG","▼   ","")&amp;": "</f>
        <v xml:space="preserve">: </v>
      </c>
      <c r="W28" s="738">
        <v>3</v>
      </c>
      <c r="X28" s="940" t="s">
        <v>2189</v>
      </c>
      <c r="Y28" s="738">
        <v>1</v>
      </c>
      <c r="Z28" s="958"/>
      <c r="AA28" s="17"/>
      <c r="AB28" s="851">
        <f>IF(AND(AM28="GOED",AN28="GOED"),W28+Y28,0)</f>
        <v>4</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F1</v>
      </c>
      <c r="AF28" s="235" t="str">
        <f ca="1">IF(AE28="OO","LEEG",IF(AE28="XX","FOUT",VLOOKUP(AE28,Voorblad!$X$65:$Z$98,3,FALSE)))</f>
        <v>TR</v>
      </c>
      <c r="AG28" s="5"/>
      <c r="AH28" s="10" t="s">
        <v>1937</v>
      </c>
      <c r="AI28" s="10" t="s">
        <v>2189</v>
      </c>
      <c r="AJ28" s="10" t="s">
        <v>1935</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FRTR31|</v>
      </c>
      <c r="AP28" s="91">
        <f ca="1">LEN(AO28)</f>
        <v>7</v>
      </c>
      <c r="AQ28" s="287"/>
      <c r="AR28" s="297" t="s">
        <v>2276</v>
      </c>
      <c r="AS28" s="682"/>
      <c r="AT28" s="683" t="s">
        <v>426</v>
      </c>
      <c r="AU28" s="682"/>
      <c r="AV28" s="683" t="s">
        <v>427</v>
      </c>
      <c r="AW28" s="682"/>
      <c r="AX28" s="683" t="s">
        <v>428</v>
      </c>
      <c r="AY28" s="682"/>
      <c r="AZ28" s="683" t="s">
        <v>429</v>
      </c>
      <c r="BA28" s="686"/>
    </row>
    <row r="29" spans="1:53" ht="15" customHeight="1" x14ac:dyDescent="0.4">
      <c r="A29" s="173"/>
      <c r="B29" s="17"/>
      <c r="C29" s="949"/>
      <c r="D29" s="17"/>
      <c r="E29" s="17"/>
      <c r="F29" s="17"/>
      <c r="G29" s="1211" t="str">
        <f ca="1">IF($AB$9=1," "&amp;AC29,IF($AB$9=2,IF(AC28="OO"," "&amp;AC29,""),""))</f>
        <v xml:space="preserve"> Frankrijk</v>
      </c>
      <c r="H29" s="1211"/>
      <c r="I29" s="1211"/>
      <c r="J29" s="1211"/>
      <c r="K29" s="1211"/>
      <c r="L29" s="1211"/>
      <c r="M29" s="16"/>
      <c r="N29" s="16"/>
      <c r="O29" s="1211" t="str">
        <f ca="1">IF($AB$9=1," "&amp;AE29,IF($AB$9=2,IF(AE28="OO"," "&amp;AE29,""),""))</f>
        <v xml:space="preserve"> Turkije</v>
      </c>
      <c r="P29" s="1211"/>
      <c r="Q29" s="1211"/>
      <c r="R29" s="1211"/>
      <c r="S29" s="1211"/>
      <c r="T29" s="1211"/>
      <c r="U29" s="1211"/>
      <c r="V29" s="17"/>
      <c r="W29" s="17"/>
      <c r="X29" s="17"/>
      <c r="Y29" s="17"/>
      <c r="Z29" s="958"/>
      <c r="AA29" s="17"/>
      <c r="AB29" s="850"/>
      <c r="AC29" s="1193" t="str">
        <f ca="1">AM93</f>
        <v>Frankrijk</v>
      </c>
      <c r="AD29" s="1193"/>
      <c r="AE29" s="1193" t="str">
        <f ca="1">AO93</f>
        <v>Turkije</v>
      </c>
      <c r="AF29" s="1193"/>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2277</v>
      </c>
      <c r="E31" s="1242" t="str">
        <f ca="1">Taal04!B71</f>
        <v>Via onderstaande link kunt u de criteria vinden voor het bepalen van de 4 beste nummers 3 in de groepsfase.</v>
      </c>
      <c r="F31" s="1242"/>
      <c r="G31" s="1242"/>
      <c r="H31" s="1242"/>
      <c r="I31" s="1242"/>
      <c r="J31" s="1242"/>
      <c r="K31" s="1242"/>
      <c r="L31" s="1242"/>
      <c r="M31" s="1242"/>
      <c r="N31" s="1242"/>
      <c r="O31" s="1242"/>
      <c r="P31" s="1242"/>
      <c r="Q31" s="1242"/>
      <c r="R31" s="1242"/>
      <c r="S31" s="1242"/>
      <c r="T31" s="1242"/>
      <c r="U31" s="1242"/>
      <c r="V31" s="1242"/>
      <c r="W31" s="1242"/>
      <c r="X31" s="1242"/>
      <c r="Y31" s="124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42" t="str">
        <f ca="1">Taal04!B72</f>
        <v>Tevens vind u hier ook de verdeelsleutel voor het bepalen welk team in welke achtste finale speelt.</v>
      </c>
      <c r="F32" s="1242"/>
      <c r="G32" s="1242"/>
      <c r="H32" s="1242"/>
      <c r="I32" s="1242"/>
      <c r="J32" s="1242"/>
      <c r="K32" s="1242"/>
      <c r="L32" s="1242"/>
      <c r="M32" s="1242"/>
      <c r="N32" s="1242"/>
      <c r="O32" s="1242"/>
      <c r="P32" s="1242"/>
      <c r="Q32" s="1242"/>
      <c r="R32" s="1242"/>
      <c r="S32" s="1242"/>
      <c r="T32" s="1242"/>
      <c r="U32" s="1242"/>
      <c r="V32" s="1242"/>
      <c r="W32" s="1242"/>
      <c r="X32" s="1242"/>
      <c r="Y32" s="124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43" t="str">
        <f ca="1">Taal04!B73</f>
        <v>www.excel-pool.nl/4beste3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958"/>
      <c r="AA33" s="17"/>
      <c r="AB33" s="850"/>
      <c r="AC33" s="663"/>
      <c r="AD33" s="415"/>
      <c r="AE33" s="415"/>
      <c r="AF33" s="415"/>
      <c r="AG33" s="5"/>
      <c r="AH33" s="415"/>
      <c r="AI33" s="5"/>
      <c r="AJ33" s="415"/>
      <c r="AK33" s="141"/>
      <c r="AL33" s="141"/>
      <c r="AM33" s="141"/>
      <c r="AN33" s="141"/>
      <c r="AO33" s="141"/>
      <c r="AP33" s="91"/>
      <c r="AQ33" s="287"/>
      <c r="AR33" s="289" t="s">
        <v>2278</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195" t="s">
        <v>2279</v>
      </c>
      <c r="AL34" s="1195"/>
      <c r="AM34" s="1195"/>
      <c r="AN34" s="1195"/>
      <c r="AO34" s="1195"/>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12" t="str">
        <f ca="1">Taal04!$B$22</f>
        <v>Wedstrijd</v>
      </c>
      <c r="H35" s="1212"/>
      <c r="I35" s="1212"/>
      <c r="J35" s="1212"/>
      <c r="K35" s="1212"/>
      <c r="L35" s="1212"/>
      <c r="M35" s="1212"/>
      <c r="N35" s="1212"/>
      <c r="O35" s="1212"/>
      <c r="P35" s="1212"/>
      <c r="Q35" s="1212"/>
      <c r="R35" s="1212"/>
      <c r="S35" s="1212"/>
      <c r="T35" s="1212"/>
      <c r="U35" s="1212"/>
      <c r="V35" s="17"/>
      <c r="W35" s="1142" t="str">
        <f ca="1">Taal04!$B$24</f>
        <v>Eindstand</v>
      </c>
      <c r="X35" s="1143"/>
      <c r="Y35" s="1143"/>
      <c r="Z35" s="60"/>
      <c r="AA35" s="17"/>
      <c r="AB35" s="850"/>
      <c r="AC35" s="235" t="s">
        <v>2280</v>
      </c>
      <c r="AD35" s="235" t="s">
        <v>1845</v>
      </c>
      <c r="AE35" s="235" t="s">
        <v>2280</v>
      </c>
      <c r="AF35" s="235" t="s">
        <v>1845</v>
      </c>
      <c r="AG35" s="5"/>
      <c r="AH35" s="10" t="s">
        <v>1045</v>
      </c>
      <c r="AI35" s="5"/>
      <c r="AJ35" s="10" t="s">
        <v>1045</v>
      </c>
      <c r="AK35" s="4" t="s">
        <v>2268</v>
      </c>
      <c r="AL35" s="4" t="s">
        <v>2269</v>
      </c>
      <c r="AM35" s="4" t="s">
        <v>2187</v>
      </c>
      <c r="AN35" s="4" t="s">
        <v>2188</v>
      </c>
      <c r="AO35" s="138" t="s">
        <v>2142</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192" t="str">
        <f ca="1">" "&amp;Taal04!$B$77&amp;" "&amp;D20</f>
        <v xml:space="preserve"> Win. Wedstrijd 39</v>
      </c>
      <c r="H36" s="1192"/>
      <c r="I36" s="1192"/>
      <c r="J36" s="1192"/>
      <c r="K36" s="1192"/>
      <c r="L36" s="667" t="s">
        <v>204</v>
      </c>
      <c r="M36" s="665"/>
      <c r="N36" s="666" t="str">
        <f ca="1">IF(AK36="LEEG","▼   ","")&amp;"-  "</f>
        <v xml:space="preserve">-  </v>
      </c>
      <c r="O36" s="1192" t="str">
        <f ca="1">" "&amp;Taal04!$B$77&amp;" "&amp;D16</f>
        <v xml:space="preserve"> Win. Wedstrijd 37</v>
      </c>
      <c r="P36" s="1192"/>
      <c r="Q36" s="1192"/>
      <c r="R36" s="1192"/>
      <c r="S36" s="1192"/>
      <c r="T36" s="1192"/>
      <c r="U36" s="667" t="s">
        <v>10</v>
      </c>
      <c r="V36" s="666" t="str">
        <f ca="1">IF(AL36="LEEG","▼   ","")&amp;": "</f>
        <v xml:space="preserve">: </v>
      </c>
      <c r="W36" s="738">
        <v>1</v>
      </c>
      <c r="X36" s="940" t="s">
        <v>2189</v>
      </c>
      <c r="Y36" s="738">
        <v>2</v>
      </c>
      <c r="Z36" s="963"/>
      <c r="AA36" s="411"/>
      <c r="AB36" s="851">
        <f>IF(AND(AM36="GOED",AN36="GOED"),W36+Y36,0)</f>
        <v>3</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426</v>
      </c>
      <c r="AI36" s="10" t="s">
        <v>2189</v>
      </c>
      <c r="AJ36" s="363" t="s">
        <v>427</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ESDE12|</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11" t="str">
        <f ca="1">IF($AB$9=1," "&amp;AC37,IF($AB$9=2,IF(AC36="OO"," "&amp;AC37,""),""))</f>
        <v xml:space="preserve"> Spanje</v>
      </c>
      <c r="H37" s="1211"/>
      <c r="I37" s="1211"/>
      <c r="J37" s="1211"/>
      <c r="K37" s="1211"/>
      <c r="L37" s="1211"/>
      <c r="M37" s="16"/>
      <c r="N37" s="16"/>
      <c r="O37" s="1211" t="str">
        <f ca="1">IF($AB$9=1," "&amp;AE37,IF($AB$9=2,IF(AE36="OO"," "&amp;AE37,""),""))</f>
        <v xml:space="preserve"> Duitsland</v>
      </c>
      <c r="P37" s="1211"/>
      <c r="Q37" s="1211"/>
      <c r="R37" s="1211"/>
      <c r="S37" s="1211"/>
      <c r="T37" s="1211"/>
      <c r="U37" s="1211"/>
      <c r="V37" s="17"/>
      <c r="W37" s="17"/>
      <c r="X37" s="262"/>
      <c r="Y37" s="17"/>
      <c r="Z37" s="60"/>
      <c r="AA37" s="17"/>
      <c r="AB37" s="850"/>
      <c r="AC37" s="1193" t="str">
        <f ca="1">AM96</f>
        <v>Spanje</v>
      </c>
      <c r="AD37" s="1193"/>
      <c r="AE37" s="1193" t="str">
        <f ca="1">AO96</f>
        <v>Duitsland</v>
      </c>
      <c r="AF37" s="1193"/>
      <c r="AG37" s="716" t="str">
        <f ca="1">IF(AO36="FOUT","",IF(W36&gt;Y36,AC36,IF(W36&lt;Y36,AE36,AC36&amp;AE36)))</f>
        <v>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192" t="str">
        <f ca="1">" "&amp;Taal04!$B$77&amp;" "&amp;D24</f>
        <v xml:space="preserve"> Win. Wedstrijd 41</v>
      </c>
      <c r="H38" s="1192"/>
      <c r="I38" s="1192"/>
      <c r="J38" s="1192"/>
      <c r="K38" s="1192"/>
      <c r="L38" s="667" t="s">
        <v>279</v>
      </c>
      <c r="M38" s="665"/>
      <c r="N38" s="666" t="str">
        <f ca="1">IF(AK38="LEEG","▼   ","")&amp;"-  "</f>
        <v xml:space="preserve">-  </v>
      </c>
      <c r="O38" s="1192" t="str">
        <f ca="1">" "&amp;Taal04!$B$77&amp;" "&amp;D22</f>
        <v xml:space="preserve"> Win. Wedstrijd 42</v>
      </c>
      <c r="P38" s="1192"/>
      <c r="Q38" s="1192"/>
      <c r="R38" s="1192"/>
      <c r="S38" s="1192"/>
      <c r="T38" s="1192"/>
      <c r="U38" s="667" t="s">
        <v>239</v>
      </c>
      <c r="V38" s="666" t="str">
        <f ca="1">IF(AL38="LEEG","▼   ","")&amp;": "</f>
        <v xml:space="preserve">: </v>
      </c>
      <c r="W38" s="738">
        <v>2</v>
      </c>
      <c r="X38" s="940" t="s">
        <v>2189</v>
      </c>
      <c r="Y38" s="738">
        <v>0</v>
      </c>
      <c r="Z38" s="963"/>
      <c r="AA38" s="411"/>
      <c r="AB38" s="851">
        <f>IF(AND(AM38="GOED",AN38="GOED"),W38+Y38,0)</f>
        <v>2</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428</v>
      </c>
      <c r="AI38" s="10" t="s">
        <v>2189</v>
      </c>
      <c r="AJ38" s="363" t="s">
        <v>429</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PTNL20|</v>
      </c>
      <c r="AP38" s="91">
        <f ca="1">LEN(AO38)</f>
        <v>7</v>
      </c>
      <c r="AQ38" s="287"/>
      <c r="AR38" s="289" t="s">
        <v>2281</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11" t="str">
        <f ca="1">IF($AB$9=1," "&amp;AC39,IF($AB$9=2,IF(AC38="OO"," "&amp;AC39,""),""))</f>
        <v xml:space="preserve"> Portugal</v>
      </c>
      <c r="H39" s="1211"/>
      <c r="I39" s="1211"/>
      <c r="J39" s="1211"/>
      <c r="K39" s="1211"/>
      <c r="L39" s="1211"/>
      <c r="M39" s="16"/>
      <c r="N39" s="16"/>
      <c r="O39" s="1211" t="str">
        <f ca="1">IF($AB$9=1," "&amp;AE39,IF($AB$9=2,IF(AE38="OO"," "&amp;AE39,""),""))</f>
        <v xml:space="preserve"> Nederland</v>
      </c>
      <c r="P39" s="1211"/>
      <c r="Q39" s="1211"/>
      <c r="R39" s="1211"/>
      <c r="S39" s="1211"/>
      <c r="T39" s="1211"/>
      <c r="U39" s="1211"/>
      <c r="V39" s="17"/>
      <c r="W39" s="17"/>
      <c r="X39" s="262"/>
      <c r="Y39" s="17"/>
      <c r="Z39" s="60"/>
      <c r="AA39" s="17"/>
      <c r="AB39" s="850"/>
      <c r="AC39" s="1193" t="str">
        <f ca="1">AM97</f>
        <v>Portugal</v>
      </c>
      <c r="AD39" s="1193"/>
      <c r="AE39" s="1193" t="str">
        <f ca="1">AO97</f>
        <v>Nederland</v>
      </c>
      <c r="AF39" s="1193"/>
      <c r="AG39" s="716" t="str">
        <f ca="1">IF(AO38="FOUT","",IF(W38&gt;Y38,AC38,IF(W38&lt;Y38,AE38,AC38&amp;AE38)))</f>
        <v>F3</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192" t="str">
        <f ca="1">" "&amp;Taal04!$B$77&amp;" "&amp;D18</f>
        <v xml:space="preserve"> Win. Wedstrijd 40</v>
      </c>
      <c r="H40" s="1192"/>
      <c r="I40" s="1192"/>
      <c r="J40" s="1192"/>
      <c r="K40" s="1192"/>
      <c r="L40" s="667" t="s">
        <v>231</v>
      </c>
      <c r="M40" s="665"/>
      <c r="N40" s="666" t="str">
        <f ca="1">IF(AK40="LEEG","▼   ","")&amp;"-  "</f>
        <v xml:space="preserve">-  </v>
      </c>
      <c r="O40" s="1192" t="str">
        <f ca="1">" "&amp;Taal04!$B$77&amp;" "&amp;D14</f>
        <v xml:space="preserve"> Win. Wedstrijd 38</v>
      </c>
      <c r="P40" s="1192"/>
      <c r="Q40" s="1192"/>
      <c r="R40" s="1192"/>
      <c r="S40" s="1192"/>
      <c r="T40" s="1192"/>
      <c r="U40" s="667" t="s">
        <v>210</v>
      </c>
      <c r="V40" s="666" t="str">
        <f ca="1">IF(AL40="LEEG","▼   ","")&amp;": "</f>
        <v xml:space="preserve">: </v>
      </c>
      <c r="W40" s="738">
        <v>3</v>
      </c>
      <c r="X40" s="940" t="s">
        <v>2189</v>
      </c>
      <c r="Y40" s="738">
        <v>1</v>
      </c>
      <c r="Z40" s="963"/>
      <c r="AA40" s="411"/>
      <c r="AB40" s="851">
        <f>IF(AND(AM40="GOED",AN40="GOED"),W40+Y40,0)</f>
        <v>4</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430</v>
      </c>
      <c r="AI40" s="10" t="s">
        <v>2189</v>
      </c>
      <c r="AJ40" s="363" t="s">
        <v>431</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GBIT31|</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11" t="str">
        <f ca="1">IF($AB$9=1," "&amp;AC41,IF($AB$9=2,IF(AC40="OO"," "&amp;AC41,""),""))</f>
        <v xml:space="preserve"> Engeland</v>
      </c>
      <c r="H41" s="1211"/>
      <c r="I41" s="1211"/>
      <c r="J41" s="1211"/>
      <c r="K41" s="1211"/>
      <c r="L41" s="1211"/>
      <c r="M41" s="16"/>
      <c r="N41" s="16"/>
      <c r="O41" s="1211" t="str">
        <f ca="1">IF($AB$9=1," "&amp;AE41,IF($AB$9=2,IF(AE40="OO"," "&amp;AE41,""),""))</f>
        <v xml:space="preserve"> Italië</v>
      </c>
      <c r="P41" s="1211"/>
      <c r="Q41" s="1211"/>
      <c r="R41" s="1211"/>
      <c r="S41" s="1211"/>
      <c r="T41" s="1211"/>
      <c r="U41" s="1211"/>
      <c r="V41" s="17"/>
      <c r="W41" s="17"/>
      <c r="X41" s="262"/>
      <c r="Y41" s="17"/>
      <c r="Z41" s="60"/>
      <c r="AA41" s="17"/>
      <c r="AB41" s="850"/>
      <c r="AC41" s="1193" t="str">
        <f ca="1">AM98</f>
        <v>Engeland</v>
      </c>
      <c r="AD41" s="1193"/>
      <c r="AE41" s="1193" t="str">
        <f ca="1">AO98</f>
        <v>Italië</v>
      </c>
      <c r="AF41" s="1193"/>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192" t="str">
        <f ca="1">" "&amp;Taal04!$B$77&amp;" "&amp;D26</f>
        <v xml:space="preserve"> Win. Wedstrijd 43</v>
      </c>
      <c r="H42" s="1192"/>
      <c r="I42" s="1192"/>
      <c r="J42" s="1192"/>
      <c r="K42" s="1192"/>
      <c r="L42" s="667" t="s">
        <v>255</v>
      </c>
      <c r="M42" s="665"/>
      <c r="N42" s="666" t="str">
        <f ca="1">IF(AK42="LEEG","▼   ","")&amp;"-  "</f>
        <v xml:space="preserve">-  </v>
      </c>
      <c r="O42" s="1192" t="str">
        <f ca="1">" "&amp;Taal04!$B$77&amp;" "&amp;D28</f>
        <v xml:space="preserve"> Win. Wedstrijd 44</v>
      </c>
      <c r="P42" s="1192"/>
      <c r="Q42" s="1192"/>
      <c r="R42" s="1192"/>
      <c r="S42" s="1192"/>
      <c r="T42" s="1192"/>
      <c r="U42" s="667" t="s">
        <v>247</v>
      </c>
      <c r="V42" s="666" t="str">
        <f ca="1">IF(AL42="LEEG","▼   ","")&amp;": "</f>
        <v xml:space="preserve">: </v>
      </c>
      <c r="W42" s="738">
        <v>0</v>
      </c>
      <c r="X42" s="940" t="s">
        <v>2189</v>
      </c>
      <c r="Y42" s="738">
        <v>2</v>
      </c>
      <c r="Z42" s="963"/>
      <c r="AA42" s="411"/>
      <c r="AB42" s="851">
        <f>IF(AND(AM42="GOED",AN42="GOED"),W42+Y42,0)</f>
        <v>2</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433</v>
      </c>
      <c r="AI42" s="10" t="s">
        <v>2189</v>
      </c>
      <c r="AJ42" s="363" t="s">
        <v>432</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BEFR02|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11" t="str">
        <f ca="1">IF($AB$9=1," "&amp;AC43,IF($AB$9=2,IF(AC42="OO"," "&amp;AC43,""),""))</f>
        <v xml:space="preserve"> België</v>
      </c>
      <c r="H43" s="1211"/>
      <c r="I43" s="1211"/>
      <c r="J43" s="1211"/>
      <c r="K43" s="1211"/>
      <c r="L43" s="1211"/>
      <c r="M43" s="16"/>
      <c r="N43" s="16"/>
      <c r="O43" s="1211" t="str">
        <f ca="1">IF($AB$9=1," "&amp;AE43,IF($AB$9=2,IF(AE42="OO"," "&amp;AE43,""),""))</f>
        <v xml:space="preserve"> Frankrijk</v>
      </c>
      <c r="P43" s="1211"/>
      <c r="Q43" s="1211"/>
      <c r="R43" s="1211"/>
      <c r="S43" s="1211"/>
      <c r="T43" s="1211"/>
      <c r="U43" s="1211"/>
      <c r="V43" s="17"/>
      <c r="W43" s="17"/>
      <c r="X43" s="17"/>
      <c r="Y43" s="17"/>
      <c r="Z43" s="60"/>
      <c r="AA43" s="17"/>
      <c r="AB43" s="850"/>
      <c r="AC43" s="1193" t="str">
        <f ca="1">AM99</f>
        <v>België</v>
      </c>
      <c r="AD43" s="1193"/>
      <c r="AE43" s="1193" t="str">
        <f ca="1">AO99</f>
        <v>Frankrijk</v>
      </c>
      <c r="AF43" s="1193"/>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2282</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195" t="s">
        <v>2283</v>
      </c>
      <c r="AL44" s="1195"/>
      <c r="AM44" s="1195"/>
      <c r="AN44" s="1195"/>
      <c r="AO44" s="1195"/>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12" t="str">
        <f ca="1">Taal04!$B$22</f>
        <v>Wedstrijd</v>
      </c>
      <c r="H45" s="1212"/>
      <c r="I45" s="1212"/>
      <c r="J45" s="1212"/>
      <c r="K45" s="1212"/>
      <c r="L45" s="1212"/>
      <c r="M45" s="1212"/>
      <c r="N45" s="1212"/>
      <c r="O45" s="1212"/>
      <c r="P45" s="1212"/>
      <c r="Q45" s="1212"/>
      <c r="R45" s="1212"/>
      <c r="S45" s="1212"/>
      <c r="T45" s="1212"/>
      <c r="U45" s="1212"/>
      <c r="V45" s="17"/>
      <c r="W45" s="1233" t="str">
        <f ca="1">Taal04!$B$24</f>
        <v>Eindstand</v>
      </c>
      <c r="X45" s="1234"/>
      <c r="Y45" s="1234"/>
      <c r="Z45" s="60"/>
      <c r="AA45" s="17"/>
      <c r="AB45" s="850"/>
      <c r="AC45" s="235" t="s">
        <v>2280</v>
      </c>
      <c r="AD45" s="235" t="s">
        <v>1845</v>
      </c>
      <c r="AE45" s="235" t="s">
        <v>2280</v>
      </c>
      <c r="AF45" s="235" t="s">
        <v>1845</v>
      </c>
      <c r="AG45" s="5"/>
      <c r="AH45" s="10" t="s">
        <v>1045</v>
      </c>
      <c r="AI45" s="5"/>
      <c r="AJ45" s="10" t="s">
        <v>1045</v>
      </c>
      <c r="AK45" s="4" t="s">
        <v>2268</v>
      </c>
      <c r="AL45" s="4" t="s">
        <v>2269</v>
      </c>
      <c r="AM45" s="4" t="s">
        <v>2187</v>
      </c>
      <c r="AN45" s="4" t="s">
        <v>2188</v>
      </c>
      <c r="AO45" s="138" t="s">
        <v>2142</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192" t="str">
        <f ca="1">" "&amp;Taal04!$B$77&amp;" "&amp;D36</f>
        <v xml:space="preserve"> Win. Wedstrijd 45</v>
      </c>
      <c r="H46" s="1192"/>
      <c r="I46" s="1192"/>
      <c r="J46" s="1192"/>
      <c r="K46" s="1192"/>
      <c r="L46" s="667" t="s">
        <v>10</v>
      </c>
      <c r="M46" s="665"/>
      <c r="N46" s="666" t="str">
        <f ca="1">IF(AK46="LEEG","▼   ","")&amp;"-  "</f>
        <v xml:space="preserve">-  </v>
      </c>
      <c r="O46" s="1192" t="str">
        <f ca="1">" "&amp;Taal04!$B$77&amp;" "&amp;D38</f>
        <v xml:space="preserve"> Win. Wedstrijd 46</v>
      </c>
      <c r="P46" s="1192"/>
      <c r="Q46" s="1192"/>
      <c r="R46" s="1192"/>
      <c r="S46" s="1192"/>
      <c r="T46" s="1192"/>
      <c r="U46" s="667" t="s">
        <v>279</v>
      </c>
      <c r="V46" s="666" t="str">
        <f ca="1">IF(AL46="LEEG","▼   ","")&amp;": "</f>
        <v xml:space="preserve">: </v>
      </c>
      <c r="W46" s="738">
        <v>0</v>
      </c>
      <c r="X46" s="940" t="s">
        <v>2189</v>
      </c>
      <c r="Y46" s="738">
        <v>1</v>
      </c>
      <c r="Z46" s="60"/>
      <c r="AA46" s="17"/>
      <c r="AB46" s="851">
        <f>IF(AND(AM46="GOED",AN46="GOED"),W46+Y46,0)</f>
        <v>1</v>
      </c>
      <c r="AC46" s="271" t="str">
        <f ca="1">IF(OR(L46="",ISBLANK(L46),L46=$AQ$11),"OO",IF(TYPE(VLOOKUP(L46,Taal02!$C$100:$D$419,2,FALSE))=16,"XX",VLOOKUP(L46,Taal02!$C$100:$D$419,2,FALSE)))</f>
        <v>A1</v>
      </c>
      <c r="AD46" s="235" t="str">
        <f ca="1">IF(AC46="OO","LEEG",IF(AC46="XX","FOUT",VLOOKUP(AC46,Voorblad!$X$65:$Z$98,3,FALSE)))</f>
        <v>DE</v>
      </c>
      <c r="AE46" s="271" t="str">
        <f ca="1">IF(OR(U46="",ISBLANK(U46),U46=$AQ$11),"OO",IF(TYPE(VLOOKUP(U46,Taal02!$C$100:$D$419,2,FALSE))=16,"XX",VLOOKUP(U46,Taal02!$C$100:$D$419,2,FALSE)))</f>
        <v>F3</v>
      </c>
      <c r="AF46" s="235" t="str">
        <f ca="1">IF(AE46="OO","LEEG",IF(AE46="XX","FOUT",VLOOKUP(AE46,Voorblad!$X$65:$Z$98,3,FALSE)))</f>
        <v>PT</v>
      </c>
      <c r="AG46" s="5"/>
      <c r="AH46" s="363" t="s">
        <v>434</v>
      </c>
      <c r="AI46" s="10" t="s">
        <v>2189</v>
      </c>
      <c r="AJ46" s="363" t="s">
        <v>434</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DEPT01|</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11" t="str">
        <f ca="1">IF($AB$9=1," "&amp;AC47,IF($AB$9=2,IF(AC46="OO"," "&amp;AC47,""),""))</f>
        <v xml:space="preserve"> Duitsland</v>
      </c>
      <c r="H47" s="1211"/>
      <c r="I47" s="1211"/>
      <c r="J47" s="1211"/>
      <c r="K47" s="1211"/>
      <c r="L47" s="1211"/>
      <c r="M47" s="16"/>
      <c r="N47" s="16"/>
      <c r="O47" s="1211" t="str">
        <f ca="1">IF($AB$9=1," "&amp;AE47,IF($AB$9=2,IF(AE46="OO"," "&amp;AE47,""),""))</f>
        <v xml:space="preserve"> Portugal</v>
      </c>
      <c r="P47" s="1211"/>
      <c r="Q47" s="1211"/>
      <c r="R47" s="1211"/>
      <c r="S47" s="1211"/>
      <c r="T47" s="1211"/>
      <c r="U47" s="1211"/>
      <c r="V47" s="17"/>
      <c r="W47" s="17"/>
      <c r="X47" s="262"/>
      <c r="Y47" s="17"/>
      <c r="Z47" s="60"/>
      <c r="AA47" s="17"/>
      <c r="AB47" s="850"/>
      <c r="AC47" s="1193" t="str">
        <f ca="1">AM102</f>
        <v>Duitsland</v>
      </c>
      <c r="AD47" s="1193"/>
      <c r="AE47" s="1193" t="str">
        <f ca="1">AO102</f>
        <v>Portugal</v>
      </c>
      <c r="AF47" s="1193"/>
      <c r="AG47" s="716" t="str">
        <f ca="1">IF(AO46="FOUT","",IF(W46&gt;Y46,AC46,IF(W46&lt;Y46,AE46,AC46&amp;AE46)))</f>
        <v>F3</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192" t="str">
        <f ca="1">" "&amp;Taal04!$B$77&amp;" "&amp;D42</f>
        <v xml:space="preserve"> Win. Wedstrijd 47</v>
      </c>
      <c r="H48" s="1192"/>
      <c r="I48" s="1192"/>
      <c r="J48" s="1192"/>
      <c r="K48" s="1192"/>
      <c r="L48" s="667" t="s">
        <v>247</v>
      </c>
      <c r="M48" s="665"/>
      <c r="N48" s="666" t="str">
        <f ca="1">IF(AK48="LEEG","▼   ","")&amp;"-  "</f>
        <v xml:space="preserve">-  </v>
      </c>
      <c r="O48" s="1192" t="str">
        <f ca="1">" "&amp;Taal04!$B$77&amp;" "&amp;D40</f>
        <v xml:space="preserve"> Win. Wedstrijd 48</v>
      </c>
      <c r="P48" s="1192"/>
      <c r="Q48" s="1192"/>
      <c r="R48" s="1192"/>
      <c r="S48" s="1192"/>
      <c r="T48" s="1192"/>
      <c r="U48" s="667" t="s">
        <v>231</v>
      </c>
      <c r="V48" s="666" t="str">
        <f ca="1">IF(AL48="LEEG","▼   ","")&amp;": "</f>
        <v xml:space="preserve">: </v>
      </c>
      <c r="W48" s="738">
        <v>2</v>
      </c>
      <c r="X48" s="940" t="s">
        <v>2189</v>
      </c>
      <c r="Y48" s="738">
        <v>1</v>
      </c>
      <c r="Z48" s="60"/>
      <c r="AA48" s="17"/>
      <c r="AB48" s="851">
        <f>IF(AND(AM48="GOED",AN48="GOED"),W48+Y48,0)</f>
        <v>3</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A1</v>
      </c>
      <c r="AH48" s="363" t="s">
        <v>434</v>
      </c>
      <c r="AI48" s="10" t="s">
        <v>2189</v>
      </c>
      <c r="AJ48" s="363" t="s">
        <v>434</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FRGB21|</v>
      </c>
      <c r="AP48" s="91">
        <f ca="1">LEN(AO48)</f>
        <v>7</v>
      </c>
      <c r="AQ48" s="287"/>
      <c r="AR48" s="289" t="s">
        <v>2190</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11" t="str">
        <f ca="1">IF($AB$9=1," "&amp;AC49,IF($AB$9=2,IF(AC48="OO"," "&amp;AC49,""),""))</f>
        <v xml:space="preserve"> Frankrijk</v>
      </c>
      <c r="H49" s="1211"/>
      <c r="I49" s="1211"/>
      <c r="J49" s="1211"/>
      <c r="K49" s="1211"/>
      <c r="L49" s="1211"/>
      <c r="M49" s="16"/>
      <c r="N49" s="16"/>
      <c r="O49" s="1211" t="str">
        <f ca="1">IF($AB$9=1," "&amp;AE49,IF($AB$9=2,IF(AE48="OO"," "&amp;AE49,""),""))</f>
        <v xml:space="preserve"> Engeland</v>
      </c>
      <c r="P49" s="1211"/>
      <c r="Q49" s="1211"/>
      <c r="R49" s="1211"/>
      <c r="S49" s="1211"/>
      <c r="T49" s="1211"/>
      <c r="U49" s="1211"/>
      <c r="V49" s="17"/>
      <c r="W49" s="262"/>
      <c r="X49" s="262"/>
      <c r="Y49" s="262"/>
      <c r="Z49" s="60"/>
      <c r="AA49" s="17"/>
      <c r="AB49" s="850"/>
      <c r="AC49" s="1193" t="str">
        <f ca="1">AM103</f>
        <v>Frankrijk</v>
      </c>
      <c r="AD49" s="1193"/>
      <c r="AE49" s="1193" t="str">
        <f ca="1">AO103</f>
        <v>Engeland</v>
      </c>
      <c r="AF49" s="1193"/>
      <c r="AG49" s="716" t="str">
        <f ca="1">IF(AO48="FOUT","",IF(W48&gt;Y48,AC48,IF(W48&lt;Y48,AE48,AC48&amp;AE48)))</f>
        <v>D4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C4</v>
      </c>
      <c r="AH50" s="5"/>
      <c r="AI50" s="5"/>
      <c r="AJ50" s="414">
        <f>4*3+1+LEN("CONTROLE")-2</f>
        <v>19</v>
      </c>
      <c r="AK50" s="1235" t="s">
        <v>1061</v>
      </c>
      <c r="AL50" s="1235"/>
      <c r="AM50" s="1235"/>
      <c r="AN50" s="1235"/>
      <c r="AO50" s="1235"/>
      <c r="AP50" s="416"/>
      <c r="AQ50" s="291" t="str">
        <f ca="1">VLOOKUP(AR50,Voorblad!$X$67:$Z$98,2,FALSE)</f>
        <v>ZZZ_land_H2</v>
      </c>
      <c r="AR50" s="292" t="str">
        <f>AR48&amp;2</f>
        <v>H2</v>
      </c>
      <c r="AS50" s="682"/>
      <c r="AT50" s="683" t="s">
        <v>430</v>
      </c>
      <c r="AU50" s="682"/>
      <c r="AV50" s="683" t="s">
        <v>431</v>
      </c>
      <c r="AW50" s="682"/>
      <c r="AX50" s="683" t="s">
        <v>433</v>
      </c>
      <c r="AY50" s="682"/>
      <c r="AZ50" s="683" t="s">
        <v>432</v>
      </c>
      <c r="BA50" s="686"/>
    </row>
    <row r="51" spans="1:55" ht="15" hidden="1" customHeight="1" x14ac:dyDescent="0.25">
      <c r="A51" s="591" t="str">
        <f>IF(A31="H","","H")</f>
        <v>H</v>
      </c>
      <c r="B51" s="17"/>
      <c r="C51" s="949"/>
      <c r="D51" s="17"/>
      <c r="E51" s="941" t="str">
        <f ca="1">Taal04!$B$20</f>
        <v>Datum</v>
      </c>
      <c r="F51" s="941" t="str">
        <f ca="1">Taal04!$B$21</f>
        <v>Tijd</v>
      </c>
      <c r="G51" s="1212" t="str">
        <f ca="1">Taal04!$B$22</f>
        <v>Wedstrijd</v>
      </c>
      <c r="H51" s="1212"/>
      <c r="I51" s="1212"/>
      <c r="J51" s="1212"/>
      <c r="K51" s="1212"/>
      <c r="L51" s="1212"/>
      <c r="M51" s="1212"/>
      <c r="N51" s="1212"/>
      <c r="O51" s="1212"/>
      <c r="P51" s="1212"/>
      <c r="Q51" s="1212"/>
      <c r="R51" s="1212"/>
      <c r="S51" s="1212"/>
      <c r="T51" s="1212"/>
      <c r="U51" s="1212"/>
      <c r="V51" s="17"/>
      <c r="W51" s="1233" t="str">
        <f ca="1">Taal04!$B$24</f>
        <v>Eindstand</v>
      </c>
      <c r="X51" s="1234"/>
      <c r="Y51" s="1234"/>
      <c r="Z51" s="60"/>
      <c r="AA51" s="17"/>
      <c r="AB51" s="850"/>
      <c r="AC51" s="235" t="s">
        <v>2280</v>
      </c>
      <c r="AD51" s="235" t="s">
        <v>1845</v>
      </c>
      <c r="AE51" s="235" t="s">
        <v>2280</v>
      </c>
      <c r="AF51" s="235" t="s">
        <v>1845</v>
      </c>
      <c r="AG51" s="5"/>
      <c r="AH51" s="10" t="s">
        <v>1045</v>
      </c>
      <c r="AI51" s="5"/>
      <c r="AJ51" s="10" t="s">
        <v>1045</v>
      </c>
      <c r="AK51" s="382" t="s">
        <v>2268</v>
      </c>
      <c r="AL51" s="382" t="s">
        <v>2269</v>
      </c>
      <c r="AM51" s="382" t="s">
        <v>2187</v>
      </c>
      <c r="AN51" s="382" t="s">
        <v>2188</v>
      </c>
      <c r="AO51" s="443" t="s">
        <v>2142</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192" t="str">
        <f ca="1">" "&amp;Taal04!$B$78&amp;" "&amp;D46</f>
        <v xml:space="preserve"> Verl. Wedstrijd 49</v>
      </c>
      <c r="H52" s="1192"/>
      <c r="I52" s="1192"/>
      <c r="J52" s="1192"/>
      <c r="K52" s="1192"/>
      <c r="L52" s="667"/>
      <c r="M52" s="665"/>
      <c r="N52" s="666" t="str">
        <f>IF(AK52="LEEG","▼   ","")&amp;"-  "</f>
        <v xml:space="preserve">-  </v>
      </c>
      <c r="O52" s="1192" t="str">
        <f ca="1">" "&amp;Taal04!$B$78&amp;" "&amp;D48</f>
        <v xml:space="preserve"> Verl. Wedstrijd 50</v>
      </c>
      <c r="P52" s="1192"/>
      <c r="Q52" s="1192"/>
      <c r="R52" s="1192"/>
      <c r="S52" s="1192"/>
      <c r="T52" s="1192"/>
      <c r="U52" s="667"/>
      <c r="V52" s="666" t="str">
        <f>IF(AL52="LEEG","▼   ","")&amp;": "</f>
        <v xml:space="preserve">: </v>
      </c>
      <c r="W52" s="738"/>
      <c r="X52" s="940" t="s">
        <v>2189</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434</v>
      </c>
      <c r="AI52" s="10" t="s">
        <v>2189</v>
      </c>
      <c r="AJ52" s="363" t="s">
        <v>434</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11" t="str">
        <f ca="1">IF($AB$9=1," "&amp;AC53,IF($AB$9=2,IF(AC52="OO"," "&amp;AC53,""),""))</f>
        <v xml:space="preserve"> Duitsland</v>
      </c>
      <c r="H53" s="1211"/>
      <c r="I53" s="1211"/>
      <c r="J53" s="1211"/>
      <c r="K53" s="1211"/>
      <c r="L53" s="1211"/>
      <c r="M53" s="16"/>
      <c r="N53" s="16"/>
      <c r="O53" s="1211" t="str">
        <f ca="1">IF($AB$9=1," "&amp;AE53,IF($AB$9=2,IF(AE52="OO"," "&amp;AE53,""),""))</f>
        <v xml:space="preserve"> Engeland</v>
      </c>
      <c r="P53" s="1211"/>
      <c r="Q53" s="1211"/>
      <c r="R53" s="1211"/>
      <c r="S53" s="1211"/>
      <c r="T53" s="1211"/>
      <c r="U53" s="1211"/>
      <c r="V53" s="17"/>
      <c r="W53" s="262"/>
      <c r="X53" s="262"/>
      <c r="Y53" s="262"/>
      <c r="Z53" s="60"/>
      <c r="AA53" s="17"/>
      <c r="AB53" s="850"/>
      <c r="AC53" s="1193" t="str">
        <f ca="1">AM106</f>
        <v>Duitsland</v>
      </c>
      <c r="AD53" s="1193"/>
      <c r="AE53" s="1193" t="str">
        <f ca="1">AO106</f>
        <v>Engeland</v>
      </c>
      <c r="AF53" s="1193"/>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2284</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195" t="s">
        <v>1065</v>
      </c>
      <c r="AL54" s="1195"/>
      <c r="AM54" s="1195"/>
      <c r="AN54" s="1195"/>
      <c r="AO54" s="1195"/>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12" t="str">
        <f ca="1">Taal04!$B$22</f>
        <v>Wedstrijd</v>
      </c>
      <c r="H55" s="1212"/>
      <c r="I55" s="1212"/>
      <c r="J55" s="1212"/>
      <c r="K55" s="1212"/>
      <c r="L55" s="1212"/>
      <c r="M55" s="1212"/>
      <c r="N55" s="1212"/>
      <c r="O55" s="1212"/>
      <c r="P55" s="1212"/>
      <c r="Q55" s="1212"/>
      <c r="R55" s="1212"/>
      <c r="S55" s="1212"/>
      <c r="T55" s="1212"/>
      <c r="U55" s="1212"/>
      <c r="V55" s="17"/>
      <c r="W55" s="1233" t="str">
        <f ca="1">Taal04!$B$24</f>
        <v>Eindstand</v>
      </c>
      <c r="X55" s="1234"/>
      <c r="Y55" s="1234"/>
      <c r="Z55" s="60"/>
      <c r="AA55" s="17"/>
      <c r="AB55" s="850"/>
      <c r="AC55" s="235" t="s">
        <v>2280</v>
      </c>
      <c r="AD55" s="235" t="s">
        <v>1845</v>
      </c>
      <c r="AE55" s="235" t="s">
        <v>2280</v>
      </c>
      <c r="AF55" s="235" t="s">
        <v>1845</v>
      </c>
      <c r="AG55" s="5"/>
      <c r="AH55" s="10" t="s">
        <v>1045</v>
      </c>
      <c r="AI55" s="5"/>
      <c r="AJ55" s="10" t="s">
        <v>1045</v>
      </c>
      <c r="AK55" s="4" t="s">
        <v>2268</v>
      </c>
      <c r="AL55" s="4" t="s">
        <v>2269</v>
      </c>
      <c r="AM55" s="4" t="s">
        <v>2187</v>
      </c>
      <c r="AN55" s="4" t="s">
        <v>2188</v>
      </c>
      <c r="AO55" s="138" t="s">
        <v>2142</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192" t="str">
        <f ca="1">" "&amp;Taal04!$B$77&amp;" "&amp;D46</f>
        <v xml:space="preserve"> Win. Wedstrijd 49</v>
      </c>
      <c r="H56" s="1192"/>
      <c r="I56" s="1192"/>
      <c r="J56" s="1192"/>
      <c r="K56" s="1192"/>
      <c r="L56" s="667" t="s">
        <v>279</v>
      </c>
      <c r="M56" s="665"/>
      <c r="N56" s="666" t="str">
        <f ca="1">IF(AK56="LEEG","▼   ","")&amp;"-  "</f>
        <v xml:space="preserve">-  </v>
      </c>
      <c r="O56" s="1192" t="str">
        <f ca="1">" "&amp;Taal04!$B$77&amp;" "&amp;D48</f>
        <v xml:space="preserve"> Win. Wedstrijd 50</v>
      </c>
      <c r="P56" s="1192"/>
      <c r="Q56" s="1192"/>
      <c r="R56" s="1192"/>
      <c r="S56" s="1192"/>
      <c r="T56" s="1192"/>
      <c r="U56" s="667" t="s">
        <v>247</v>
      </c>
      <c r="V56" s="666" t="str">
        <f ca="1">IF(AL56="LEEG","▼   ","")&amp;": "</f>
        <v xml:space="preserve">: </v>
      </c>
      <c r="W56" s="738">
        <v>1</v>
      </c>
      <c r="X56" s="940" t="s">
        <v>2189</v>
      </c>
      <c r="Y56" s="738">
        <v>3</v>
      </c>
      <c r="Z56" s="60"/>
      <c r="AA56" s="17"/>
      <c r="AB56" s="851">
        <f>IF(AND(AM56="GOED",AN56="GOED"),W56+Y56,0)</f>
        <v>4</v>
      </c>
      <c r="AC56" s="271" t="str">
        <f ca="1">IF(OR(L56="",ISBLANK(L56),L56=$AQ$11),"OO",IF(TYPE(VLOOKUP(L56,Taal02!$C$100:$D$419,2,FALSE))=16,"XX",VLOOKUP(L56,Taal02!$C$100:$D$419,2,FALSE)))</f>
        <v>F3</v>
      </c>
      <c r="AD56" s="235" t="str">
        <f ca="1">IF(AC56="OO","LEEG",IF(AC56="XX","FOUT",VLOOKUP(AC56,Voorblad!$X$65:$Z$98,3,FALSE)))</f>
        <v>PT</v>
      </c>
      <c r="AE56" s="271" t="str">
        <f ca="1">IF(OR(U56="",ISBLANK(U56),U56=$AQ$11),"OO",IF(TYPE(VLOOKUP(U56,Taal02!$C$100:$D$419,2,FALSE))=16,"XX",VLOOKUP(U56,Taal02!$C$100:$D$419,2,FALSE)))</f>
        <v>D4</v>
      </c>
      <c r="AF56" s="235" t="str">
        <f ca="1">IF(AE56="OO","LEEG",IF(AE56="XX","FOUT",VLOOKUP(AE56,Voorblad!$X$65:$Z$98,3,FALSE)))</f>
        <v>FR</v>
      </c>
      <c r="AG56" s="5"/>
      <c r="AH56" s="363" t="s">
        <v>434</v>
      </c>
      <c r="AI56" s="10" t="s">
        <v>2189</v>
      </c>
      <c r="AJ56" s="363" t="s">
        <v>434</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PTFR13|</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11" t="str">
        <f ca="1">IF($AB$9=1," "&amp;AC57,IF($AB$9=2,IF(AC56="OO"," "&amp;AC57,""),""))</f>
        <v xml:space="preserve"> Portugal</v>
      </c>
      <c r="H57" s="1211"/>
      <c r="I57" s="1211"/>
      <c r="J57" s="1211"/>
      <c r="K57" s="1211"/>
      <c r="L57" s="1211"/>
      <c r="M57" s="16"/>
      <c r="N57" s="16"/>
      <c r="O57" s="1211" t="str">
        <f ca="1">IF($AB$9=1," "&amp;AE57,IF($AB$9=2,IF(AE56="OO"," "&amp;AE57,""),""))</f>
        <v xml:space="preserve"> Frankrijk</v>
      </c>
      <c r="P57" s="1211"/>
      <c r="Q57" s="1211"/>
      <c r="R57" s="1211"/>
      <c r="S57" s="1211"/>
      <c r="T57" s="1211"/>
      <c r="U57" s="1211"/>
      <c r="V57" s="17"/>
      <c r="W57" s="17"/>
      <c r="X57" s="17"/>
      <c r="Y57" s="17"/>
      <c r="Z57" s="60"/>
      <c r="AA57" s="17"/>
      <c r="AB57" s="1240" t="s">
        <v>2285</v>
      </c>
      <c r="AC57" s="1209" t="str">
        <f ca="1">AM109</f>
        <v>Portugal</v>
      </c>
      <c r="AD57" s="1209"/>
      <c r="AE57" s="1209" t="str">
        <f ca="1">AO109</f>
        <v>Frankrijk</v>
      </c>
      <c r="AF57" s="1209"/>
      <c r="AG57" s="716" t="str">
        <f ca="1">IF(AO56="FOUT","",IF(W56&gt;Y56,AC56,IF(W56&lt;Y56,AE56,AC56&amp;AE56)))</f>
        <v>D4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40"/>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1884</v>
      </c>
      <c r="N59" s="827"/>
      <c r="O59" s="1194" t="s">
        <v>247</v>
      </c>
      <c r="P59" s="1194"/>
      <c r="Q59" s="1194"/>
      <c r="R59" s="1194"/>
      <c r="S59" s="1194"/>
      <c r="T59" s="1194"/>
      <c r="U59" s="1194"/>
      <c r="V59" s="726"/>
      <c r="W59" s="17"/>
      <c r="X59" s="17"/>
      <c r="Y59" s="17"/>
      <c r="Z59" s="60"/>
      <c r="AA59" s="17"/>
      <c r="AB59" s="1240"/>
      <c r="AC59" s="5"/>
      <c r="AD59" s="13"/>
      <c r="AE59" s="271" t="str">
        <f ca="1">IF(OR(O59="",ISBLANK(O59),O59=$AQ$11),"OO",IF(TYPE(VLOOKUP(O59,Taal02!$C$100:$D$419,2,FALSE))=16,"XX",VLOOKUP(O59,Taal02!$C$100:$D$419,2,FALSE)))</f>
        <v>D4</v>
      </c>
      <c r="AF59" s="235" t="str">
        <f ca="1">IF(AE59="OO","LEEG",IF(AE59="XX","FOUT",VLOOKUP(AE59,Voorblad!$X$65:$Z$98,3,FALSE)))</f>
        <v>FR</v>
      </c>
      <c r="AG59" s="5"/>
      <c r="AH59" s="363" t="s">
        <v>434</v>
      </c>
      <c r="AI59" s="5"/>
      <c r="AJ59" s="5"/>
      <c r="AK59" s="1"/>
      <c r="AL59" s="4" t="str">
        <f ca="1">IF(AF59="LEEG","LEEG",IF(TYPE(AF59)=2,IF(LEN(AF59)=2,"GOED","ONGELDIG"),"ONGELDIG"))</f>
        <v>GOED</v>
      </c>
      <c r="AM59" s="1"/>
      <c r="AN59" s="1"/>
      <c r="AO59" s="138" t="str">
        <f ca="1">IF(AL59="GOED",AF59&amp;"|","FOUT")</f>
        <v>FR|</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36" t="str">
        <f ca="1">IF($AB$9=1," "&amp;AE60,IF($AB$9=2,IF(AE59="OO"," "&amp;AE60,""),""))</f>
        <v xml:space="preserve"> Frankrijk</v>
      </c>
      <c r="P60" s="1236"/>
      <c r="Q60" s="1236"/>
      <c r="R60" s="1236"/>
      <c r="S60" s="1236"/>
      <c r="T60" s="1236"/>
      <c r="U60" s="1236"/>
      <c r="V60" s="17"/>
      <c r="W60" s="17"/>
      <c r="X60" s="17"/>
      <c r="Y60" s="17"/>
      <c r="Z60" s="60"/>
      <c r="AA60" s="17"/>
      <c r="AB60" s="1240"/>
      <c r="AC60" s="10"/>
      <c r="AD60" s="5"/>
      <c r="AE60" s="1209" t="str">
        <f ca="1">AM112</f>
        <v>Frankrijk</v>
      </c>
      <c r="AF60" s="1209"/>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40"/>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40"/>
      <c r="AC62" s="296"/>
      <c r="AD62" s="296"/>
      <c r="AE62" s="296"/>
      <c r="AF62" s="296"/>
      <c r="AG62" s="296"/>
      <c r="AH62" s="296"/>
      <c r="AI62" s="734" t="s">
        <v>2286</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39" t="s">
        <v>2287</v>
      </c>
      <c r="AC63" s="1239"/>
      <c r="AD63" s="1239"/>
      <c r="AE63" s="1239"/>
      <c r="AF63" s="1239"/>
      <c r="AG63" s="1239"/>
      <c r="AH63" s="1239"/>
      <c r="AI63" s="1239"/>
      <c r="AJ63" s="266"/>
      <c r="AK63" s="43"/>
      <c r="AL63" s="43"/>
      <c r="AM63" s="43"/>
      <c r="AN63" s="43"/>
      <c r="AO63" s="14" t="s">
        <v>2288</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39"/>
      <c r="AC64" s="1239"/>
      <c r="AD64" s="1239"/>
      <c r="AE64" s="1239"/>
      <c r="AF64" s="1239"/>
      <c r="AG64" s="1239"/>
      <c r="AH64" s="1239"/>
      <c r="AI64" s="1239"/>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39"/>
      <c r="AC65" s="1239"/>
      <c r="AD65" s="1239"/>
      <c r="AE65" s="1239"/>
      <c r="AF65" s="1239"/>
      <c r="AG65" s="1239"/>
      <c r="AH65" s="1239"/>
      <c r="AI65" s="1239"/>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2289</v>
      </c>
      <c r="AC66" s="269" t="s">
        <v>2225</v>
      </c>
      <c r="AD66" s="266"/>
      <c r="AE66" s="266"/>
      <c r="AF66" s="266"/>
      <c r="AG66" s="266"/>
      <c r="AH66" s="266"/>
      <c r="AI66" s="266"/>
      <c r="AJ66" s="266"/>
      <c r="AK66" s="178"/>
      <c r="AL66" s="1207" t="s">
        <v>2290</v>
      </c>
      <c r="AM66" s="1207"/>
      <c r="AN66" s="1207"/>
      <c r="AO66" s="1207"/>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08"/>
      <c r="AM67" s="1208"/>
      <c r="AN67" s="1208"/>
      <c r="AO67" s="1208"/>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2291</v>
      </c>
      <c r="AC68" s="269" t="s">
        <v>2231</v>
      </c>
      <c r="AD68" s="266"/>
      <c r="AE68" s="266"/>
      <c r="AF68" s="266"/>
      <c r="AG68" s="266"/>
      <c r="AH68" s="266"/>
      <c r="AI68" s="266"/>
      <c r="AJ68" s="266"/>
      <c r="AK68" s="178"/>
      <c r="AL68" s="1202" t="str">
        <f ca="1">AO14&amp;AO16&amp;AO18&amp;AO20&amp;AO22&amp;AO24&amp;AO26&amp;AO28&amp;AO36&amp;AO38&amp;AO40&amp;AO42&amp;AO46&amp;AO48&amp;IF(A50="H","",AO52)&amp;AO56&amp;AO59</f>
        <v>CHIT02|DEDK31|GBAT41|ESCZ30|NLUA21|PTHR21|BERS10|FRTR31|ESDE12|PTNL20|GBIT31|BEFR02|DEPT01|FRGB21|PTFR13|FR|</v>
      </c>
      <c r="AM68" s="1203"/>
      <c r="AN68" s="1203"/>
      <c r="AO68" s="1203"/>
      <c r="AP68" s="1204"/>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05"/>
      <c r="AM69" s="1108"/>
      <c r="AN69" s="1108"/>
      <c r="AO69" s="1108"/>
      <c r="AP69" s="1206"/>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2292</v>
      </c>
      <c r="AC70" s="269" t="s">
        <v>2293</v>
      </c>
      <c r="AD70" s="266"/>
      <c r="AE70" s="266"/>
      <c r="AF70" s="266"/>
      <c r="AG70" s="266"/>
      <c r="AH70" s="272" t="s">
        <v>2294</v>
      </c>
      <c r="AI70" s="266"/>
      <c r="AJ70" s="266"/>
      <c r="AK70" s="178"/>
      <c r="AL70" s="1200" t="s">
        <v>2295</v>
      </c>
      <c r="AM70" s="1200"/>
      <c r="AN70" s="1200"/>
      <c r="AO70" s="1201"/>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2296</v>
      </c>
      <c r="AI71" s="266"/>
      <c r="AJ71" s="266"/>
      <c r="AK71" s="178"/>
      <c r="AL71" s="1198" t="s">
        <v>2297</v>
      </c>
      <c r="AM71" s="1199"/>
      <c r="AN71" s="323" t="str">
        <f ca="1">AO14&amp;AO16&amp;AO18&amp;AO20&amp;AO22&amp;AO24&amp;AO26&amp;AO28&amp;AO36&amp;AO38&amp;AO40&amp;AO42&amp;AO46&amp;AO48&amp;IF(A50="H","",AO52)&amp;AO56</f>
        <v>CHIT02|DEDK31|GBAT41|ESCZ30|NLUA21|PTHR21|BERS10|FRTR31|ESDE12|PTNL20|GBIT31|BEFR02|DEPT01|FRGB21|PTFR13|</v>
      </c>
      <c r="AO71" s="259" t="s">
        <v>2298</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2206</v>
      </c>
      <c r="AR72" s="709"/>
      <c r="AS72" s="690"/>
      <c r="AT72" s="691" t="s">
        <v>2299</v>
      </c>
      <c r="AU72" s="690"/>
      <c r="AV72" s="691" t="s">
        <v>2299</v>
      </c>
      <c r="AW72" s="690"/>
      <c r="AX72" s="691" t="s">
        <v>2299</v>
      </c>
      <c r="AY72" s="690"/>
      <c r="AZ72" s="691" t="s">
        <v>2299</v>
      </c>
      <c r="BA72" s="692"/>
    </row>
    <row r="73" spans="3:53" ht="15" customHeight="1" x14ac:dyDescent="0.25">
      <c r="O73" s="47"/>
      <c r="P73" s="47"/>
      <c r="AB73" s="720" t="s">
        <v>2300</v>
      </c>
      <c r="AC73" s="1196" t="s">
        <v>2301</v>
      </c>
      <c r="AD73" s="1196"/>
      <c r="AE73" s="1196" t="s">
        <v>2302</v>
      </c>
      <c r="AF73" s="1196"/>
      <c r="AG73" s="1196" t="s">
        <v>2303</v>
      </c>
      <c r="AH73" s="1196"/>
      <c r="AI73" s="1196" t="s">
        <v>2304</v>
      </c>
      <c r="AJ73" s="1196"/>
      <c r="AK73" s="720" t="s">
        <v>2305</v>
      </c>
      <c r="AL73" s="720" t="s">
        <v>2306</v>
      </c>
      <c r="AM73" s="1197" t="s">
        <v>2307</v>
      </c>
      <c r="AN73" s="1197"/>
      <c r="AO73" s="721" t="s">
        <v>2308</v>
      </c>
      <c r="AP73" s="266"/>
      <c r="AQ73" s="710" t="str">
        <f ca="1">Voorblad!AA67</f>
        <v>B4</v>
      </c>
      <c r="AR73" s="711"/>
      <c r="AS73" s="693" t="str">
        <f ca="1">IF(AT73=$AR$11,$AQ$11,IF(AT73=$AR$12,$AQ$12,VLOOKUP(AT73,Voorblad!$X$67:$Z$98,2,FALSE)))</f>
        <v>Duitsland</v>
      </c>
      <c r="AT73" s="694" t="str">
        <f ca="1">RIGHT(LEFT($AK$102,$BA73),2)</f>
        <v>A1</v>
      </c>
      <c r="AU73" s="693" t="str">
        <f ca="1">IF(AV73=$AR$11,$AQ$11,IF(AV73=$AR$12,$AQ$12,VLOOKUP(AV73,Voorblad!$X$67:$Z$98,2,FALSE)))</f>
        <v>Portugal</v>
      </c>
      <c r="AV73" s="694" t="str">
        <f ca="1">RIGHT(LEFT($AL$102,$BA73),2)</f>
        <v>F3</v>
      </c>
      <c r="AW73" s="693" t="str">
        <f ca="1">IF(AX73=$AR$11,$AQ$11,IF(AX73=$AR$12,$AQ$12,VLOOKUP(AX73,Voorblad!$X$67:$Z$98,2,FALSE)))</f>
        <v>Frankrijk</v>
      </c>
      <c r="AX73" s="694" t="str">
        <f ca="1">RIGHT(LEFT($AK$103,$BA73),2)</f>
        <v>D4</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238" t="str">
        <f ca="1">Groepswedstrijden!$Z$73</f>
        <v>A4</v>
      </c>
      <c r="AD74" s="1238"/>
      <c r="AE74" s="1238" t="str">
        <f ca="1">Groepswedstrijden!$AA$73</f>
        <v>B3</v>
      </c>
      <c r="AF74" s="1238"/>
      <c r="AG74" s="1238" t="e">
        <f>#REF!</f>
        <v>#REF!</v>
      </c>
      <c r="AH74" s="1238"/>
      <c r="AI74" s="1238" t="e">
        <f>#REF!</f>
        <v>#REF!</v>
      </c>
      <c r="AJ74" s="1238"/>
      <c r="AK74" s="717" t="str">
        <f ca="1">'Eindstand Groep'!$Y$5</f>
        <v>A4</v>
      </c>
      <c r="AL74" s="717" t="str">
        <f ca="1">'Eindstand Groep'!$Z$5</f>
        <v>B3</v>
      </c>
      <c r="AM74" s="1244" t="str">
        <f t="shared" ref="AM74:AM81" ca="1" si="18">IF($AG$71=1,AK74,IF($AG$67=1,AC74,IF($AG$69=1,AG74,"")))</f>
        <v>A4</v>
      </c>
      <c r="AN74" s="1244"/>
      <c r="AO74" s="614" t="str">
        <f ca="1">IF($AG$71=1,AL74,IF($AG$67=1,AE74,IF($AG$69=1,AI74,"")))</f>
        <v>B3</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237" t="str">
        <f ca="1">Groepswedstrijden!$Z$72</f>
        <v>A1</v>
      </c>
      <c r="AD75" s="1237"/>
      <c r="AE75" s="1237" t="str">
        <f ca="1">Groepswedstrijden!$AB$73</f>
        <v>C2</v>
      </c>
      <c r="AF75" s="1237"/>
      <c r="AG75" s="1237" t="e">
        <f>#REF!</f>
        <v>#REF!</v>
      </c>
      <c r="AH75" s="1237"/>
      <c r="AI75" s="1237" t="e">
        <f>#REF!</f>
        <v>#REF!</v>
      </c>
      <c r="AJ75" s="1237"/>
      <c r="AK75" s="718" t="str">
        <f ca="1">'Eindstand Groep'!$Y$6</f>
        <v>A1</v>
      </c>
      <c r="AL75" s="718" t="str">
        <f ca="1">'Eindstand Groep'!$Z$6</f>
        <v>C2</v>
      </c>
      <c r="AM75" s="1245" t="str">
        <f t="shared" ca="1" si="18"/>
        <v>A1</v>
      </c>
      <c r="AN75" s="1245"/>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238" t="str">
        <f ca="1">Groepswedstrijden!$AB$72</f>
        <v>C4</v>
      </c>
      <c r="AD76" s="1238"/>
      <c r="AE76" s="1238" t="str">
        <f ca="1">Groepswedstrijden!$AC$74&amp;Groepswedstrijden!$AD$74&amp;Groepswedstrijden!$AE$74</f>
        <v>D1D3E2F1F4</v>
      </c>
      <c r="AF76" s="1238"/>
      <c r="AG76" s="1238" t="e">
        <f>#REF!</f>
        <v>#REF!</v>
      </c>
      <c r="AH76" s="1238"/>
      <c r="AI76" s="1238" t="e">
        <f>#REF!&amp;#REF!&amp;#REF!</f>
        <v>#REF!</v>
      </c>
      <c r="AJ76" s="1238"/>
      <c r="AK76" s="717" t="str">
        <f ca="1">'Eindstand Groep'!$Y$7</f>
        <v>C4</v>
      </c>
      <c r="AL76" s="717" t="str">
        <f ca="1">'Eindstand Groep'!$Z$7</f>
        <v>D3E2F4</v>
      </c>
      <c r="AM76" s="1244" t="str">
        <f t="shared" ca="1" si="18"/>
        <v>C4</v>
      </c>
      <c r="AN76" s="1244"/>
      <c r="AO76" s="614" t="str">
        <f t="shared" ca="1" si="24"/>
        <v>D3E2F4</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237" t="str">
        <f ca="1">Groepswedstrijden!$AA$72</f>
        <v>B1</v>
      </c>
      <c r="AD77" s="1237"/>
      <c r="AE77" s="1237" t="str">
        <f ca="1">Groepswedstrijden!$Z$74&amp;Groepswedstrijden!$AC$74&amp;Groepswedstrijden!$AD$74&amp;Groepswedstrijden!$AE$74</f>
        <v>A3D1D3E2F1F4</v>
      </c>
      <c r="AF77" s="1237"/>
      <c r="AG77" s="1237" t="e">
        <f>#REF!</f>
        <v>#REF!</v>
      </c>
      <c r="AH77" s="1237"/>
      <c r="AI77" s="1237" t="e">
        <f>#REF!&amp;#REF!&amp;#REF!&amp;#REF!</f>
        <v>#REF!</v>
      </c>
      <c r="AJ77" s="1237"/>
      <c r="AK77" s="718" t="str">
        <f ca="1">'Eindstand Groep'!$Y$8</f>
        <v>B1</v>
      </c>
      <c r="AL77" s="718" t="str">
        <f ca="1">'Eindstand Groep'!$Z$8</f>
        <v>A3D3E2F4</v>
      </c>
      <c r="AM77" s="1245" t="str">
        <f t="shared" ca="1" si="18"/>
        <v>B1</v>
      </c>
      <c r="AN77" s="1245"/>
      <c r="AO77" s="719" t="str">
        <f t="shared" ca="1" si="24"/>
        <v>A3D3E2F4</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238" t="str">
        <f ca="1">Groepswedstrijden!$AC$73</f>
        <v>D2</v>
      </c>
      <c r="AD78" s="1238"/>
      <c r="AE78" s="1238" t="str">
        <f ca="1">Groepswedstrijden!$AD$73</f>
        <v>E4</v>
      </c>
      <c r="AF78" s="1238"/>
      <c r="AG78" s="1238" t="e">
        <f>#REF!</f>
        <v>#REF!</v>
      </c>
      <c r="AH78" s="1238"/>
      <c r="AI78" s="1238" t="e">
        <f>#REF!</f>
        <v>#REF!</v>
      </c>
      <c r="AJ78" s="1238"/>
      <c r="AK78" s="717" t="str">
        <f ca="1">'Eindstand Groep'!$Y$9</f>
        <v>D2</v>
      </c>
      <c r="AL78" s="717" t="str">
        <f ca="1">'Eindstand Groep'!$Z$9</f>
        <v>E4</v>
      </c>
      <c r="AM78" s="1244" t="str">
        <f t="shared" ca="1" si="18"/>
        <v>D2</v>
      </c>
      <c r="AN78" s="1244"/>
      <c r="AO78" s="614" t="str">
        <f t="shared" ca="1" si="24"/>
        <v>E4</v>
      </c>
      <c r="AP78" s="266"/>
      <c r="AQ78" s="710" t="str">
        <f ca="1">Voorblad!AA72</f>
        <v>D4</v>
      </c>
      <c r="AR78" s="711"/>
      <c r="AS78" s="693" t="str">
        <f ca="1">IF(AT78=$AR$11,$AQ$11,IF(AT78=$AR$12,$AQ$12,VLOOKUP(AT78,Voorblad!$X$67:$Z$98,2,FALSE)))</f>
        <v>Engeland</v>
      </c>
      <c r="AT78" s="694" t="str">
        <f t="shared" ca="1" si="19"/>
        <v>C4</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237" t="str">
        <f ca="1">Groepswedstrijden!$AE$72</f>
        <v>F3</v>
      </c>
      <c r="AD79" s="1237"/>
      <c r="AE79" s="1237" t="str">
        <f ca="1">Groepswedstrijden!$Z$74&amp;Groepswedstrijden!$AA$74&amp;Groepswedstrijden!$AB$74</f>
        <v>A3B2C3</v>
      </c>
      <c r="AF79" s="1237"/>
      <c r="AG79" s="1237" t="e">
        <f>#REF!</f>
        <v>#REF!</v>
      </c>
      <c r="AH79" s="1237"/>
      <c r="AI79" s="1237" t="e">
        <f>#REF!&amp;#REF!&amp;#REF!</f>
        <v>#REF!</v>
      </c>
      <c r="AJ79" s="1237"/>
      <c r="AK79" s="718" t="str">
        <f ca="1">'Eindstand Groep'!$Y$10</f>
        <v>F3</v>
      </c>
      <c r="AL79" s="718" t="str">
        <f ca="1">'Eindstand Groep'!$Z$10</f>
        <v>A3B2C3</v>
      </c>
      <c r="AM79" s="1245" t="str">
        <f t="shared" ca="1" si="18"/>
        <v>F3</v>
      </c>
      <c r="AN79" s="1245"/>
      <c r="AO79" s="719" t="str">
        <f t="shared" ca="1" si="24"/>
        <v>A3B2C3</v>
      </c>
      <c r="AP79" s="266"/>
      <c r="AQ79" s="710" t="str">
        <f ca="1">Voorblad!AA73</f>
        <v>F2</v>
      </c>
      <c r="AR79" s="711"/>
      <c r="AS79" s="693" t="str">
        <f ca="1">IF(AT79=$AR$11,$AQ$11,IF(AT79=$AR$12,$AQ$12,VLOOKUP(AT79,Voorblad!$X$67:$Z$98,2,FALSE)))</f>
        <v>Frankrijk</v>
      </c>
      <c r="AT79" s="694" t="str">
        <f t="shared" ca="1" si="19"/>
        <v>D4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238" t="str">
        <f ca="1">Groepswedstrijden!$AD$72</f>
        <v>E1</v>
      </c>
      <c r="AD80" s="1238"/>
      <c r="AE80" s="1238" t="str">
        <f ca="1">Groepswedstrijden!$Z$74&amp;Groepswedstrijden!$AA$74&amp;Groepswedstrijden!$AB$74&amp;Groepswedstrijden!$AC$74</f>
        <v>A3B2C3D1D3</v>
      </c>
      <c r="AF80" s="1238"/>
      <c r="AG80" s="1238" t="e">
        <f>#REF!</f>
        <v>#REF!</v>
      </c>
      <c r="AH80" s="1238"/>
      <c r="AI80" s="1238" t="e">
        <f>#REF!&amp;#REF!&amp;#REF!&amp;#REF!</f>
        <v>#REF!</v>
      </c>
      <c r="AJ80" s="1238"/>
      <c r="AK80" s="717" t="str">
        <f ca="1">'Eindstand Groep'!$Y$11</f>
        <v>E1</v>
      </c>
      <c r="AL80" s="717" t="str">
        <f ca="1">'Eindstand Groep'!$Z$11</f>
        <v>A3B2C3D3</v>
      </c>
      <c r="AM80" s="1244" t="str">
        <f t="shared" ca="1" si="18"/>
        <v>E1</v>
      </c>
      <c r="AN80" s="1244"/>
      <c r="AO80" s="614" t="str">
        <f t="shared" ca="1" si="24"/>
        <v>A3B2C3D3</v>
      </c>
      <c r="AP80" s="266"/>
      <c r="AQ80" s="710" t="str">
        <f ca="1">Voorblad!AA74</f>
        <v>A3</v>
      </c>
      <c r="AR80" s="711"/>
      <c r="AS80" s="693" t="str">
        <f ca="1">IF(AT80=$AR$11,$AQ$11,IF(AT80=$AR$12,$AQ$12,VLOOKUP(AT80,Voorblad!$X$67:$Z$98,2,FALSE)))</f>
        <v>Georgië</v>
      </c>
      <c r="AT80" s="694" t="str">
        <f t="shared" ca="1" si="19"/>
        <v>F2</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Georgië</v>
      </c>
      <c r="AZ80" s="694" t="str">
        <f t="shared" ca="1" si="22"/>
        <v>F2</v>
      </c>
      <c r="BA80" s="696">
        <f t="shared" si="23"/>
        <v>16</v>
      </c>
    </row>
    <row r="81" spans="21:53" x14ac:dyDescent="0.25">
      <c r="AB81" s="718">
        <f>D28</f>
        <v>44</v>
      </c>
      <c r="AC81" s="1237" t="str">
        <f ca="1">Groepswedstrijden!$AC$72</f>
        <v>D4</v>
      </c>
      <c r="AD81" s="1237"/>
      <c r="AE81" s="1237" t="str">
        <f ca="1">Groepswedstrijden!$AE$73</f>
        <v>F1F4</v>
      </c>
      <c r="AF81" s="1237"/>
      <c r="AG81" s="1237" t="e">
        <f>#REF!</f>
        <v>#REF!</v>
      </c>
      <c r="AH81" s="1237"/>
      <c r="AI81" s="1237" t="e">
        <f>#REF!</f>
        <v>#REF!</v>
      </c>
      <c r="AJ81" s="1237"/>
      <c r="AK81" s="718" t="str">
        <f ca="1">'Eindstand Groep'!$Y$12</f>
        <v>D4</v>
      </c>
      <c r="AL81" s="718" t="str">
        <f ca="1">'Eindstand Groep'!$Z$12</f>
        <v>F1</v>
      </c>
      <c r="AM81" s="1245" t="str">
        <f t="shared" ca="1" si="18"/>
        <v>D4</v>
      </c>
      <c r="AN81" s="1245"/>
      <c r="AO81" s="719" t="str">
        <f t="shared" ca="1" si="24"/>
        <v>F1</v>
      </c>
      <c r="AP81" s="266"/>
      <c r="AQ81" s="710" t="str">
        <f ca="1">Voorblad!AA75</f>
        <v>B3</v>
      </c>
      <c r="AR81" s="711"/>
      <c r="AS81" s="693" t="str">
        <f ca="1">IF(AT81=$AR$11,$AQ$11,IF(AT81=$AR$12,$AQ$12,VLOOKUP(AT81,Voorblad!$X$67:$Z$98,2,FALSE)))</f>
        <v>Hongarije</v>
      </c>
      <c r="AT81" s="694" t="str">
        <f t="shared" ca="1" si="19"/>
        <v>A3</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Italië</v>
      </c>
      <c r="AT82" s="694" t="str">
        <f t="shared" ca="1" si="19"/>
        <v>B3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Italië</v>
      </c>
      <c r="AZ82" s="694" t="str">
        <f t="shared" ca="1" si="22"/>
        <v>B3</v>
      </c>
      <c r="BA82" s="696">
        <f t="shared" si="23"/>
        <v>20</v>
      </c>
    </row>
    <row r="83" spans="21:53" x14ac:dyDescent="0.25">
      <c r="AB83" s="773" t="s">
        <v>2309</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Kroatië</v>
      </c>
      <c r="AT83" s="694" t="str">
        <f t="shared" ca="1" si="19"/>
        <v>B2</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Nederland</v>
      </c>
      <c r="AT84" s="694" t="str">
        <f t="shared" ca="1" si="19"/>
        <v>D2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2300</v>
      </c>
      <c r="AC85" s="1241" t="str">
        <f t="shared" ref="AC85:AC93" si="25">AM73</f>
        <v>suggestie - thuis</v>
      </c>
      <c r="AD85" s="1241"/>
      <c r="AE85" s="1241" t="str">
        <f t="shared" ref="AE85:AE93" si="26">AO73</f>
        <v>suggestie - uit</v>
      </c>
      <c r="AF85" s="1241"/>
      <c r="AG85" s="1241" t="s">
        <v>2310</v>
      </c>
      <c r="AH85" s="1241"/>
      <c r="AI85" s="1241" t="s">
        <v>2311</v>
      </c>
      <c r="AJ85" s="1241"/>
      <c r="AK85" s="720" t="s">
        <v>2312</v>
      </c>
      <c r="AL85" s="720" t="s">
        <v>2313</v>
      </c>
      <c r="AM85" s="1197" t="s">
        <v>2314</v>
      </c>
      <c r="AN85" s="1197"/>
      <c r="AO85" s="721" t="s">
        <v>2315</v>
      </c>
      <c r="AP85" s="266"/>
      <c r="AQ85" s="710" t="str">
        <f ca="1">Voorblad!AA79</f>
        <v>D3</v>
      </c>
      <c r="AR85" s="711"/>
      <c r="AS85" s="693" t="str">
        <f ca="1">IF(AT85=$AR$11,$AQ$11,IF(AT85=$AR$12,$AQ$12,VLOOKUP(AT85,Voorblad!$X$67:$Z$98,2,FALSE)))</f>
        <v>Oekraïne</v>
      </c>
      <c r="AT85" s="694" t="str">
        <f t="shared" ca="1" si="19"/>
        <v>E4</v>
      </c>
      <c r="AU85" s="693" t="str">
        <f ca="1">IF(AV85=$AR$11,$AQ$11,IF(AV85=$AR$12,$AQ$12,VLOOKUP(AV85,Voorblad!$X$67:$Z$98,2,FALSE)))</f>
        <v>Nederland</v>
      </c>
      <c r="AV85" s="694" t="str">
        <f t="shared" ca="1" si="20"/>
        <v>D2</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238" t="str">
        <f ca="1">AM74</f>
        <v>A4</v>
      </c>
      <c r="AD86" s="1238"/>
      <c r="AE86" s="1238" t="str">
        <f t="shared" ca="1" si="26"/>
        <v>B3</v>
      </c>
      <c r="AF86" s="1238"/>
      <c r="AG86" s="1238"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238"/>
      <c r="AI86" s="1238"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238"/>
      <c r="AK86" s="728" t="s">
        <v>2316</v>
      </c>
      <c r="AL86" s="728" t="s">
        <v>2316</v>
      </c>
      <c r="AM86" s="1238" t="str">
        <f ca="1">IF(AG86="","",IF(LEN(AG86)&gt;=2,VLOOKUP(LEFT(AG86,2),Voorblad!$X$67:$Y$98,2)&amp;IF(LEN(AG86)&gt;=4," / "&amp;VLOOKUP(RIGHT(LEFT(AG86,4),2),Voorblad!$X$67:$Y$98,2)&amp;IF(LEN(AG86)&gt;=6," / "&amp;VLOOKUP(RIGHT(LEFT(AG86,6),2),Voorblad!$X$67:$Y$98,2)&amp;IF(LEN(AG86)&gt;=8," / "&amp;VLOOKUP(RIGHT(LEFT(AG86,8),2),Voorblad!$X$67:$Y$98,2),""),""),""),""))</f>
        <v>Zwitserland</v>
      </c>
      <c r="AN86" s="1238"/>
      <c r="AO86" s="728" t="str">
        <f ca="1">IF(AI86="","",IF(LEN(AI86)&gt;=2,VLOOKUP(LEFT(AI86,2),Voorblad!$X$67:$Y$98,2)&amp;IF(LEN(AI86)&gt;=4," / "&amp;VLOOKUP(RIGHT(LEFT(AI86,4),2),Voorblad!$X$67:$Y$98,2)&amp;IF(LEN(AI86)&gt;=6," / "&amp;VLOOKUP(RIGHT(LEFT(AI86,6),2),Voorblad!$X$67:$Y$98,2)&amp;IF(LEN(AI86)&gt;=8," / "&amp;VLOOKUP(RIGHT(LEFT(AI86,8),2),Voorblad!$X$67:$Y$98,2),""),""),""),""))</f>
        <v>Italië</v>
      </c>
      <c r="AP86" s="266" t="s">
        <v>533</v>
      </c>
      <c r="AQ86" s="710" t="str">
        <f ca="1">Voorblad!AA80</f>
        <v>D1</v>
      </c>
      <c r="AR86" s="711"/>
      <c r="AS86" s="693" t="str">
        <f ca="1">IF(AT86=$AR$11,$AQ$11,IF(AT86=$AR$12,$AQ$12,VLOOKUP(AT86,Voorblad!$X$67:$Z$98,2,FALSE)))</f>
        <v>Oostenrijk</v>
      </c>
      <c r="AT86" s="694" t="str">
        <f t="shared" ca="1" si="19"/>
        <v>D3</v>
      </c>
      <c r="AU86" s="693" t="str">
        <f ca="1">IF(AV86=$AR$11,$AQ$11,IF(AV86=$AR$12,$AQ$12,VLOOKUP(AV86,Voorblad!$X$67:$Z$98,2,FALSE)))</f>
        <v>Oekraïne</v>
      </c>
      <c r="AV86" s="694" t="str">
        <f t="shared" ca="1" si="20"/>
        <v>E4</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237" t="str">
        <f t="shared" ca="1" si="25"/>
        <v>A1</v>
      </c>
      <c r="AD87" s="1237"/>
      <c r="AE87" s="1237" t="str">
        <f t="shared" ca="1" si="26"/>
        <v>C2</v>
      </c>
      <c r="AF87" s="1237"/>
      <c r="AG87" s="1237" t="str">
        <f t="shared" ca="1" si="29"/>
        <v>A1</v>
      </c>
      <c r="AH87" s="1237"/>
      <c r="AI87" s="1237" t="str">
        <f t="shared" ca="1" si="30"/>
        <v>C2</v>
      </c>
      <c r="AJ87" s="1237"/>
      <c r="AK87" s="729" t="s">
        <v>2316</v>
      </c>
      <c r="AL87" s="729" t="s">
        <v>2316</v>
      </c>
      <c r="AM87" s="1237" t="str">
        <f ca="1">IF(AG87="","",IF(LEN(AG87)&gt;=2,VLOOKUP(LEFT(AG87,2),Voorblad!$X$67:$Y$98,2)&amp;IF(LEN(AG87)&gt;=4," / "&amp;VLOOKUP(RIGHT(LEFT(AG87,4),2),Voorblad!$X$67:$Y$98,2)&amp;IF(LEN(AG87)&gt;=6," / "&amp;VLOOKUP(RIGHT(LEFT(AG87,6),2),Voorblad!$X$67:$Y$98,2)&amp;IF(LEN(AG87)&gt;=8," / "&amp;VLOOKUP(RIGHT(LEFT(AG87,8),2),Voorblad!$X$67:$Y$98,2),""),""),""),""))</f>
        <v>Duitsland</v>
      </c>
      <c r="AN87" s="1237"/>
      <c r="AO87" s="729" t="str">
        <f ca="1">IF(AI87="","",IF(LEN(AI87)&gt;=2,VLOOKUP(LEFT(AI87,2),Voorblad!$X$67:$Y$98,2)&amp;IF(LEN(AI87)&gt;=4," / "&amp;VLOOKUP(RIGHT(LEFT(AI87,4),2),Voorblad!$X$67:$Y$98,2)&amp;IF(LEN(AI87)&gt;=6," / "&amp;VLOOKUP(RIGHT(LEFT(AI87,6),2),Voorblad!$X$67:$Y$98,2)&amp;IF(LEN(AI87)&gt;=8," / "&amp;VLOOKUP(RIGHT(LEFT(AI87,8),2),Voorblad!$X$67:$Y$98,2),""),""),""),""))</f>
        <v>Denemarken</v>
      </c>
      <c r="AP87" s="266" t="s">
        <v>533</v>
      </c>
      <c r="AQ87" s="710" t="str">
        <f ca="1">Voorblad!AA81</f>
        <v>F3</v>
      </c>
      <c r="AR87" s="711"/>
      <c r="AS87" s="693" t="str">
        <f ca="1">IF(AT87=$AR$11,$AQ$11,IF(AT87=$AR$12,$AQ$12,VLOOKUP(AT87,Voorblad!$X$67:$Z$98,2,FALSE)))</f>
        <v>Polen</v>
      </c>
      <c r="AT87" s="694" t="str">
        <f t="shared" ca="1" si="19"/>
        <v>D1</v>
      </c>
      <c r="AU87" s="693" t="str">
        <f ca="1">IF(AV87=$AR$11,$AQ$11,IF(AV87=$AR$12,$AQ$12,VLOOKUP(AV87,Voorblad!$X$67:$Z$98,2,FALSE)))</f>
        <v>Oostenrijk</v>
      </c>
      <c r="AV87" s="694" t="str">
        <f t="shared" ca="1" si="20"/>
        <v>D3</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238" t="str">
        <f t="shared" ca="1" si="25"/>
        <v>C4</v>
      </c>
      <c r="AD88" s="1238"/>
      <c r="AE88" s="1238" t="str">
        <f t="shared" ca="1" si="26"/>
        <v>D3E2F4</v>
      </c>
      <c r="AF88" s="1238"/>
      <c r="AG88" s="1238" t="str">
        <f t="shared" ca="1" si="29"/>
        <v>C4</v>
      </c>
      <c r="AH88" s="1238"/>
      <c r="AI88" s="1238" t="str">
        <f t="shared" ca="1" si="30"/>
        <v>D3E2F4</v>
      </c>
      <c r="AJ88" s="1238"/>
      <c r="AK88" s="728" t="s">
        <v>2316</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D3E2F4&amp;&amp;E1D4F2D2E4D1F3E3F1????????????????????????????????????????????????????????????????</v>
      </c>
      <c r="AM88" s="1238" t="str">
        <f ca="1">IF(AG88="","",IF(LEN(AG88)&gt;=2,VLOOKUP(LEFT(AG88,2),Voorblad!$X$67:$Y$98,2)&amp;IF(LEN(AG88)&gt;=4," / "&amp;VLOOKUP(RIGHT(LEFT(AG88,4),2),Voorblad!$X$67:$Y$98,2)&amp;IF(LEN(AG88)&gt;=6," / "&amp;VLOOKUP(RIGHT(LEFT(AG88,6),2),Voorblad!$X$67:$Y$98,2)&amp;IF(LEN(AG88)&gt;=8," / "&amp;VLOOKUP(RIGHT(LEFT(AG88,8),2),Voorblad!$X$67:$Y$98,2),""),""),""),""))</f>
        <v>Engeland</v>
      </c>
      <c r="AN88" s="1238"/>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Oostenrijk / Slowakije / Tsjechië</v>
      </c>
      <c r="AP88" s="266" t="s">
        <v>533</v>
      </c>
      <c r="AQ88" s="710" t="str">
        <f ca="1">Voorblad!AA82</f>
        <v>E3</v>
      </c>
      <c r="AR88" s="711"/>
      <c r="AS88" s="693" t="str">
        <f ca="1">IF(AT88=$AR$11,$AQ$11,IF(AT88=$AR$12,$AQ$12,VLOOKUP(AT88,Voorblad!$X$67:$Z$98,2,FALSE)))</f>
        <v>Portugal</v>
      </c>
      <c r="AT88" s="694" t="str">
        <f t="shared" ca="1" si="19"/>
        <v>F3</v>
      </c>
      <c r="AU88" s="693" t="str">
        <f ca="1">IF(AV88=$AR$11,$AQ$11,IF(AV88=$AR$12,$AQ$12,VLOOKUP(AV88,Voorblad!$X$67:$Z$98,2,FALSE)))</f>
        <v>Polen</v>
      </c>
      <c r="AV88" s="694" t="str">
        <f t="shared" ca="1" si="20"/>
        <v>D1</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237" t="str">
        <f t="shared" ca="1" si="25"/>
        <v>B1</v>
      </c>
      <c r="AD89" s="1237"/>
      <c r="AE89" s="1237" t="str">
        <f t="shared" ca="1" si="26"/>
        <v>A3D3E2F4</v>
      </c>
      <c r="AF89" s="1237"/>
      <c r="AG89" s="1237" t="str">
        <f t="shared" ca="1" si="29"/>
        <v>B1</v>
      </c>
      <c r="AH89" s="1237"/>
      <c r="AI89" s="1237" t="str">
        <f t="shared" ca="1" si="30"/>
        <v>A3D3E2F4</v>
      </c>
      <c r="AJ89" s="1237"/>
      <c r="AK89" s="729" t="s">
        <v>2316</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A3D3E2F4&amp;&amp;E1A1D4F2D2E4D1F3E3A2F1A4????????????????????????????????????????????????????????????????</v>
      </c>
      <c r="AM89" s="1237" t="str">
        <f ca="1">IF(AG89="","",IF(LEN(AG89)&gt;=2,VLOOKUP(LEFT(AG89,2),Voorblad!$X$67:$Y$98,2)&amp;IF(LEN(AG89)&gt;=4," / "&amp;VLOOKUP(RIGHT(LEFT(AG89,4),2),Voorblad!$X$67:$Y$98,2)&amp;IF(LEN(AG89)&gt;=6," / "&amp;VLOOKUP(RIGHT(LEFT(AG89,6),2),Voorblad!$X$67:$Y$98,2)&amp;IF(LEN(AG89)&gt;=8," / "&amp;VLOOKUP(RIGHT(LEFT(AG89,8),2),Voorblad!$X$67:$Y$98,2),""),""),""),""))</f>
        <v>Spanje</v>
      </c>
      <c r="AN89" s="1237"/>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Hongarije / Oostenrijk / Slowakije / Tsjechië</v>
      </c>
      <c r="AP89" s="266" t="s">
        <v>533</v>
      </c>
      <c r="AQ89" s="710" t="str">
        <f ca="1">Voorblad!AA83</f>
        <v>A2</v>
      </c>
      <c r="AR89" s="711"/>
      <c r="AS89" s="693" t="str">
        <f ca="1">IF(AT89=$AR$11,$AQ$11,IF(AT89=$AR$12,$AQ$12,VLOOKUP(AT89,Voorblad!$X$67:$Z$98,2,FALSE)))</f>
        <v>Roemenië</v>
      </c>
      <c r="AT89" s="694" t="str">
        <f t="shared" ca="1" si="19"/>
        <v>E3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238" t="str">
        <f t="shared" ca="1" si="25"/>
        <v>D2</v>
      </c>
      <c r="AD90" s="1238"/>
      <c r="AE90" s="1238" t="str">
        <f t="shared" ca="1" si="26"/>
        <v>E4</v>
      </c>
      <c r="AF90" s="1238"/>
      <c r="AG90" s="1238" t="str">
        <f t="shared" ca="1" si="29"/>
        <v>D2</v>
      </c>
      <c r="AH90" s="1238"/>
      <c r="AI90" s="1238" t="str">
        <f t="shared" ca="1" si="30"/>
        <v>E4</v>
      </c>
      <c r="AJ90" s="1238"/>
      <c r="AK90" s="728" t="s">
        <v>2316</v>
      </c>
      <c r="AL90" s="728" t="s">
        <v>2316</v>
      </c>
      <c r="AM90" s="1238" t="str">
        <f ca="1">IF(AG90="","",IF(LEN(AG90)&gt;=2,VLOOKUP(LEFT(AG90,2),Voorblad!$X$67:$Y$98,2)&amp;IF(LEN(AG90)&gt;=4," / "&amp;VLOOKUP(RIGHT(LEFT(AG90,4),2),Voorblad!$X$67:$Y$98,2)&amp;IF(LEN(AG90)&gt;=6," / "&amp;VLOOKUP(RIGHT(LEFT(AG90,6),2),Voorblad!$X$67:$Y$98,2)&amp;IF(LEN(AG90)&gt;=8," / "&amp;VLOOKUP(RIGHT(LEFT(AG90,8),2),Voorblad!$X$67:$Y$98,2),""),""),""),""))</f>
        <v>Nederland</v>
      </c>
      <c r="AN90" s="1238"/>
      <c r="AO90" s="728" t="str">
        <f ca="1">IF(AI90="","",IF(LEN(AI90)&gt;=2,VLOOKUP(LEFT(AI90,2),Voorblad!$X$67:$Y$98,2)&amp;IF(LEN(AI90)&gt;=4," / "&amp;VLOOKUP(RIGHT(LEFT(AI90,4),2),Voorblad!$X$67:$Y$98,2)&amp;IF(LEN(AI90)&gt;=6," / "&amp;VLOOKUP(RIGHT(LEFT(AI90,6),2),Voorblad!$X$67:$Y$98,2)&amp;IF(LEN(AI90)&gt;=8," / "&amp;VLOOKUP(RIGHT(LEFT(AI90,8),2),Voorblad!$X$67:$Y$98,2),""),""),""),""))</f>
        <v>Oekraïne</v>
      </c>
      <c r="AP90" s="266" t="s">
        <v>533</v>
      </c>
      <c r="AQ90" s="710" t="str">
        <f ca="1">Voorblad!AA84</f>
        <v>C3</v>
      </c>
      <c r="AR90" s="711"/>
      <c r="AS90" s="693" t="str">
        <f ca="1">IF(AT90=$AR$11,$AQ$11,IF(AT90=$AR$12,$AQ$12,VLOOKUP(AT90,Voorblad!$X$67:$Z$98,2,FALSE)))</f>
        <v>Schotland</v>
      </c>
      <c r="AT90" s="694" t="str">
        <f t="shared" ca="1" si="19"/>
        <v>A2</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237" t="str">
        <f t="shared" ca="1" si="25"/>
        <v>F3</v>
      </c>
      <c r="AD91" s="1237"/>
      <c r="AE91" s="1237" t="str">
        <f t="shared" ca="1" si="26"/>
        <v>A3B2C3</v>
      </c>
      <c r="AF91" s="1237"/>
      <c r="AG91" s="1237" t="str">
        <f t="shared" ca="1" si="29"/>
        <v>F3</v>
      </c>
      <c r="AH91" s="1237"/>
      <c r="AI91" s="1237" t="str">
        <f t="shared" ca="1" si="30"/>
        <v>A3B2C3</v>
      </c>
      <c r="AJ91" s="1237"/>
      <c r="AK91" s="729" t="s">
        <v>2316</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A3B2C3&amp;&amp;B4C2A1C4B3A2C1B1A4????????????????????????????????????????????????????????????????</v>
      </c>
      <c r="AM91" s="1237" t="str">
        <f ca="1">IF(AG91="","",IF(LEN(AG91)&gt;=2,VLOOKUP(LEFT(AG91,2),Voorblad!$X$67:$Y$98,2)&amp;IF(LEN(AG91)&gt;=4," / "&amp;VLOOKUP(RIGHT(LEFT(AG91,4),2),Voorblad!$X$67:$Y$98,2)&amp;IF(LEN(AG91)&gt;=6," / "&amp;VLOOKUP(RIGHT(LEFT(AG91,6),2),Voorblad!$X$67:$Y$98,2)&amp;IF(LEN(AG91)&gt;=8," / "&amp;VLOOKUP(RIGHT(LEFT(AG91,8),2),Voorblad!$X$67:$Y$98,2),""),""),""),""))</f>
        <v>Portugal</v>
      </c>
      <c r="AN91" s="1237"/>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Hongarije / Kroatië / Servië</v>
      </c>
      <c r="AP91" s="266" t="s">
        <v>533</v>
      </c>
      <c r="AQ91" s="710" t="str">
        <f ca="1">Voorblad!AA85</f>
        <v>C1</v>
      </c>
      <c r="AR91" s="711"/>
      <c r="AS91" s="693" t="str">
        <f ca="1">IF(AT91=$AR$11,$AQ$11,IF(AT91=$AR$12,$AQ$12,VLOOKUP(AT91,Voorblad!$X$67:$Z$98,2,FALSE)))</f>
        <v>Servië</v>
      </c>
      <c r="AT91" s="694" t="str">
        <f t="shared" ca="1" si="19"/>
        <v>C3</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238" t="str">
        <f t="shared" ca="1" si="25"/>
        <v>E1</v>
      </c>
      <c r="AD92" s="1238"/>
      <c r="AE92" s="1238" t="str">
        <f t="shared" ca="1" si="26"/>
        <v>A3B2C3D3</v>
      </c>
      <c r="AF92" s="1238"/>
      <c r="AG92" s="1238" t="str">
        <f t="shared" ca="1" si="29"/>
        <v>E1</v>
      </c>
      <c r="AH92" s="1238"/>
      <c r="AI92" s="1238" t="str">
        <f t="shared" ca="1" si="30"/>
        <v>A3B2D3C3</v>
      </c>
      <c r="AJ92" s="1238"/>
      <c r="AK92" s="728" t="s">
        <v>2316</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A3B2D3C3&amp;&amp;B4C2A1C4D4B3D2D1A2C1B1A4????????????????????????????????????????????????????????????????</v>
      </c>
      <c r="AM92" s="1238" t="str">
        <f ca="1">IF(AG92="","",IF(LEN(AG92)&gt;=2,VLOOKUP(LEFT(AG92,2),Voorblad!$X$67:$Y$98,2)&amp;IF(LEN(AG92)&gt;=4," / "&amp;VLOOKUP(RIGHT(LEFT(AG92,4),2),Voorblad!$X$67:$Y$98,2)&amp;IF(LEN(AG92)&gt;=6," / "&amp;VLOOKUP(RIGHT(LEFT(AG92,6),2),Voorblad!$X$67:$Y$98,2)&amp;IF(LEN(AG92)&gt;=8," / "&amp;VLOOKUP(RIGHT(LEFT(AG92,8),2),Voorblad!$X$67:$Y$98,2),""),""),""),""))</f>
        <v>België</v>
      </c>
      <c r="AN92" s="1238"/>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Hongarije / Kroatië / Oostenrijk / Servië</v>
      </c>
      <c r="AP92" s="266" t="s">
        <v>533</v>
      </c>
      <c r="AQ92" s="710" t="str">
        <f ca="1">Voorblad!AA86</f>
        <v>E2</v>
      </c>
      <c r="AR92" s="711"/>
      <c r="AS92" s="693" t="str">
        <f ca="1">IF(AT92=$AR$11,$AQ$11,IF(AT92=$AR$12,$AQ$12,VLOOKUP(AT92,Voorblad!$X$67:$Z$98,2,FALSE)))</f>
        <v>Slovenië</v>
      </c>
      <c r="AT92" s="694" t="str">
        <f t="shared" ca="1" si="19"/>
        <v>C1</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237" t="str">
        <f t="shared" ca="1" si="25"/>
        <v>D4</v>
      </c>
      <c r="AD93" s="1237"/>
      <c r="AE93" s="1237" t="str">
        <f t="shared" ca="1" si="26"/>
        <v>F1</v>
      </c>
      <c r="AF93" s="1237"/>
      <c r="AG93" s="1237" t="str">
        <f t="shared" ca="1" si="29"/>
        <v>D4</v>
      </c>
      <c r="AH93" s="1237"/>
      <c r="AI93" s="1237" t="str">
        <f t="shared" ca="1" si="30"/>
        <v>F1</v>
      </c>
      <c r="AJ93" s="1237"/>
      <c r="AK93" s="729" t="s">
        <v>2316</v>
      </c>
      <c r="AL93" s="729" t="s">
        <v>2316</v>
      </c>
      <c r="AM93" s="1237" t="str">
        <f ca="1">IF(AG93="","",IF(LEN(AG93)&gt;=2,VLOOKUP(LEFT(AG93,2),Voorblad!$X$67:$Y$98,2)&amp;IF(LEN(AG93)&gt;=4," / "&amp;VLOOKUP(RIGHT(LEFT(AG93,4),2),Voorblad!$X$67:$Y$98,2)&amp;IF(LEN(AG93)&gt;=6," / "&amp;VLOOKUP(RIGHT(LEFT(AG93,6),2),Voorblad!$X$67:$Y$98,2)&amp;IF(LEN(AG93)&gt;=8," / "&amp;VLOOKUP(RIGHT(LEFT(AG93,8),2),Voorblad!$X$67:$Y$98,2),""),""),""),""))</f>
        <v>Frankrijk</v>
      </c>
      <c r="AN93" s="1237"/>
      <c r="AO93" s="729" t="str">
        <f ca="1">IF(AI93="","",IF(LEN(AI93)&gt;=2,VLOOKUP(LEFT(AI93,2),Voorblad!$X$67:$Y$98,2)&amp;IF(LEN(AI93)&gt;=4," / "&amp;VLOOKUP(RIGHT(LEFT(AI93,4),2),Voorblad!$X$67:$Y$98,2)&amp;IF(LEN(AI93)&gt;=6," / "&amp;VLOOKUP(RIGHT(LEFT(AI93,6),2),Voorblad!$X$67:$Y$98,2)&amp;IF(LEN(AI93)&gt;=8," / "&amp;VLOOKUP(RIGHT(LEFT(AI93,8),2),Voorblad!$X$67:$Y$98,2),""),""),""),""))</f>
        <v>Turkije</v>
      </c>
      <c r="AP93" s="266" t="s">
        <v>533</v>
      </c>
      <c r="AQ93" s="710" t="str">
        <f ca="1">Voorblad!AA87</f>
        <v>B1</v>
      </c>
      <c r="AR93" s="711"/>
      <c r="AS93" s="693" t="str">
        <f ca="1">IF(AT93=$AR$11,$AQ$11,IF(AT93=$AR$12,$AQ$12,VLOOKUP(AT93,Voorblad!$X$67:$Z$98,2,FALSE)))</f>
        <v>Slowakije</v>
      </c>
      <c r="AT93" s="694" t="str">
        <f t="shared" ca="1" si="19"/>
        <v>E2</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Spanje</v>
      </c>
      <c r="AT94" s="694" t="str">
        <f t="shared" ca="1" si="19"/>
        <v>B1</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6" t="str">
        <f>$AC$85</f>
        <v>suggestie - thuis</v>
      </c>
      <c r="AD95" s="1196"/>
      <c r="AE95" s="1196" t="str">
        <f>$AE$85</f>
        <v>suggestie - uit</v>
      </c>
      <c r="AF95" s="1196"/>
      <c r="AG95" s="1196" t="str">
        <f>$AG$85</f>
        <v>thuis code</v>
      </c>
      <c r="AH95" s="1196"/>
      <c r="AI95" s="1196" t="str">
        <f>$AG$85</f>
        <v>thuis code</v>
      </c>
      <c r="AJ95" s="1196"/>
      <c r="AK95" s="764" t="str">
        <f>$AK$85</f>
        <v>thuis menu</v>
      </c>
      <c r="AL95" s="764" t="str">
        <f>$AL$85</f>
        <v>uit menu</v>
      </c>
      <c r="AM95" s="1197" t="str">
        <f>$AM$85</f>
        <v>thuis (landen)</v>
      </c>
      <c r="AN95" s="1197"/>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238" t="str">
        <f ca="1">AG21</f>
        <v>B1</v>
      </c>
      <c r="AD96" s="1238"/>
      <c r="AE96" s="1238" t="str">
        <f ca="1">AG17</f>
        <v>A1</v>
      </c>
      <c r="AF96" s="1238"/>
      <c r="AG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238"/>
      <c r="AI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238"/>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247" t="str">
        <f ca="1">IF(AG96="","",IF(LEN(AG96)&gt;=2,VLOOKUP(LEFT(AG96,2),Voorblad!$X$67:$Y$98,2)&amp;IF(LEN(AG96)&gt;=4," / "&amp;VLOOKUP(RIGHT(LEFT(AG96,4),2),Voorblad!$X$67:$Y$98,2),""),""))</f>
        <v>Spanje</v>
      </c>
      <c r="AN96" s="1247"/>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237" t="str">
        <f ca="1">AG25</f>
        <v>F3</v>
      </c>
      <c r="AD97" s="1237"/>
      <c r="AE97" s="1237" t="str">
        <f ca="1">AG23</f>
        <v>D2</v>
      </c>
      <c r="AF97" s="1237"/>
      <c r="AG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237"/>
      <c r="AI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237"/>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248" t="str">
        <f ca="1">IF(AG97="","",IF(LEN(AG97)&gt;=2,VLOOKUP(LEFT(AG97,2),Voorblad!$X$67:$Y$98,2)&amp;IF(LEN(AG97)&gt;=4," / "&amp;VLOOKUP(RIGHT(LEFT(AG97,4),2),Voorblad!$X$67:$Y$98,2),""),""))</f>
        <v>Portugal</v>
      </c>
      <c r="AN97" s="1248"/>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238" t="str">
        <f ca="1">AG19</f>
        <v>C4</v>
      </c>
      <c r="AD98" s="1238"/>
      <c r="AE98" s="1238" t="str">
        <f ca="1">AG15</f>
        <v>B3</v>
      </c>
      <c r="AF98" s="1238"/>
      <c r="AG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238"/>
      <c r="AI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238"/>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247" t="str">
        <f ca="1">IF(AG98="","",IF(LEN(AG98)&gt;=2,VLOOKUP(LEFT(AG98,2),Voorblad!$X$67:$Y$98,2)&amp;IF(LEN(AG98)&gt;=4," / "&amp;VLOOKUP(RIGHT(LEFT(AG98,4),2),Voorblad!$X$67:$Y$98,2),""),""))</f>
        <v>Engeland</v>
      </c>
      <c r="AN98" s="1247"/>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237" t="str">
        <f ca="1">AG27</f>
        <v>E1</v>
      </c>
      <c r="AD99" s="1237"/>
      <c r="AE99" s="1237" t="str">
        <f ca="1">AG29</f>
        <v>D4</v>
      </c>
      <c r="AF99" s="1237"/>
      <c r="AG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237"/>
      <c r="AI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237"/>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248" t="str">
        <f ca="1">IF(AG99="","",IF(LEN(AG99)&gt;=2,VLOOKUP(LEFT(AG99,2),Voorblad!$X$67:$Y$98,2)&amp;IF(LEN(AG99)&gt;=4," / "&amp;VLOOKUP(RIGHT(LEFT(AG99,4),2),Voorblad!$X$67:$Y$98,2),""),""))</f>
        <v>België</v>
      </c>
      <c r="AN99" s="1248"/>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6" t="str">
        <f>$AC$85</f>
        <v>suggestie - thuis</v>
      </c>
      <c r="AD101" s="1196"/>
      <c r="AE101" s="1196" t="str">
        <f>$AE$85</f>
        <v>suggestie - uit</v>
      </c>
      <c r="AF101" s="1196"/>
      <c r="AG101" s="1196" t="str">
        <f>$AG$85</f>
        <v>thuis code</v>
      </c>
      <c r="AH101" s="1196"/>
      <c r="AI101" s="1196" t="str">
        <f>$AG$85</f>
        <v>thuis code</v>
      </c>
      <c r="AJ101" s="1196"/>
      <c r="AK101" s="764" t="str">
        <f>$AK$85</f>
        <v>thuis menu</v>
      </c>
      <c r="AL101" s="764" t="str">
        <f>$AL$85</f>
        <v>uit menu</v>
      </c>
      <c r="AM101" s="1197" t="str">
        <f>$AM$85</f>
        <v>thuis (landen)</v>
      </c>
      <c r="AN101" s="1197"/>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238" t="str">
        <f ca="1">AG37</f>
        <v>A1</v>
      </c>
      <c r="AD102" s="1238"/>
      <c r="AE102" s="1238" t="str">
        <f ca="1">AG39</f>
        <v>F3</v>
      </c>
      <c r="AF102" s="1238"/>
      <c r="AG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v>
      </c>
      <c r="AH102" s="1238"/>
      <c r="AI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F3</v>
      </c>
      <c r="AJ102" s="1238"/>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A1&amp;&amp;B4E1C2C4D4F2A3B3B2D2E4D3D1F3E3A2C3C1E2B1F4F1A4????????????????????????????????????????????????????????????????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F3&amp;&amp;B4E1C2A1C4D4F2A3B3B2D2E4D3D1E3A2C3C1E2B1F4F1A4????????????????????????????????????????????????????????????????</v>
      </c>
      <c r="AM102" s="1247" t="str">
        <f ca="1">IF(AG102="","",IF(LEN(AG102)&gt;=2,VLOOKUP(LEFT(AG102,2),Voorblad!$X$67:$Y$98,2)&amp;IF(LEN(AG102)&gt;=4," / "&amp;VLOOKUP(RIGHT(LEFT(AG102,4),2),Voorblad!$X$67:$Y$98,2),""),""))</f>
        <v>Duitsland</v>
      </c>
      <c r="AN102" s="1247"/>
      <c r="AO102" s="717" t="str">
        <f ca="1">IF(AI102="","",IF(LEN(AI102)&gt;=2,VLOOKUP(LEFT(AI102,2),Voorblad!$X$67:$Y$98,2)&amp;IF(LEN(AI102)&gt;=4," / "&amp;VLOOKUP(RIGHT(LEFT(AI102,4),2),Voorblad!$X$67:$Y$98,2),""),""))</f>
        <v>Portugal</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237" t="str">
        <f ca="1">AG43</f>
        <v>D4</v>
      </c>
      <c r="AD103" s="1237"/>
      <c r="AE103" s="1237" t="str">
        <f ca="1">AG41</f>
        <v>C4</v>
      </c>
      <c r="AF103" s="1237"/>
      <c r="AG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237"/>
      <c r="AI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237"/>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248" t="str">
        <f ca="1">IF(AG103="","",IF(LEN(AG103)&gt;=2,VLOOKUP(LEFT(AG103,2),Voorblad!$X$67:$Y$98,2)&amp;IF(LEN(AG103)&gt;=4," / "&amp;VLOOKUP(RIGHT(LEFT(AG103,4),2),Voorblad!$X$67:$Y$98,2),""),""))</f>
        <v>Frankrijk</v>
      </c>
      <c r="AN103" s="1248"/>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6" t="str">
        <f>$AC$85</f>
        <v>suggestie - thuis</v>
      </c>
      <c r="AD105" s="1196"/>
      <c r="AE105" s="1196" t="str">
        <f>$AE$85</f>
        <v>suggestie - uit</v>
      </c>
      <c r="AF105" s="1196"/>
      <c r="AG105" s="1196" t="str">
        <f>$AG$85</f>
        <v>thuis code</v>
      </c>
      <c r="AH105" s="1196"/>
      <c r="AI105" s="1196" t="str">
        <f>$AG$85</f>
        <v>thuis code</v>
      </c>
      <c r="AJ105" s="1196"/>
      <c r="AK105" s="764" t="str">
        <f>$AK$85</f>
        <v>thuis menu</v>
      </c>
      <c r="AL105" s="764" t="str">
        <f>$AL$85</f>
        <v>uit menu</v>
      </c>
      <c r="AM105" s="1197" t="str">
        <f>$AM$85</f>
        <v>thuis (landen)</v>
      </c>
      <c r="AN105" s="1197"/>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238" t="str">
        <f ca="1">AG48</f>
        <v>A1</v>
      </c>
      <c r="AD106" s="1238"/>
      <c r="AE106" s="1238" t="str">
        <f ca="1">AG50</f>
        <v>C4</v>
      </c>
      <c r="AF106" s="1238"/>
      <c r="AG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A1</v>
      </c>
      <c r="AH106" s="1238"/>
      <c r="AI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v>
      </c>
      <c r="AJ106" s="1238"/>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A1&amp;&amp;B4E1C2C4D4F2A3B3B2D2E4D3D1F3E3A2C3C1E2B1F4F1A4????????????????????????????????????????????????????????????????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C4&amp;&amp;B4E1C2A1D4F2A3B3B2D2E4D3D1F3E3A2C3C1E2B1F4F1A4????????????????????????????????????????????????????????????????</v>
      </c>
      <c r="AM106" s="1247" t="str">
        <f ca="1">IF(AG106="","",IF(LEN(AG106)&gt;=2,VLOOKUP(LEFT(AG106,2),Voorblad!$X$67:$Y$98,2)&amp;IF(LEN(AG106)&gt;=4," / "&amp;VLOOKUP(RIGHT(LEFT(AG106,4),2),Voorblad!$X$67:$Y$98,2),""),""))</f>
        <v>Duitsland</v>
      </c>
      <c r="AN106" s="1247"/>
      <c r="AO106" s="717" t="str">
        <f ca="1">IF(AI106="","",IF(LEN(AI106)&gt;=2,VLOOKUP(LEFT(AI106,2),Voorblad!$X$67:$Y$98,2)&amp;IF(LEN(AI106)&gt;=4," / "&amp;VLOOKUP(RIGHT(LEFT(AI106,4),2),Voorblad!$X$67:$Y$98,2),""),""))</f>
        <v>Engeland</v>
      </c>
      <c r="AP106" s="266"/>
      <c r="AQ106" s="722"/>
      <c r="AR106" s="723" t="s">
        <v>2299</v>
      </c>
      <c r="AS106" s="698"/>
      <c r="AT106" s="699" t="s">
        <v>2299</v>
      </c>
      <c r="AU106" s="698"/>
      <c r="AV106" s="699" t="s">
        <v>2299</v>
      </c>
      <c r="AW106" s="702"/>
      <c r="AX106" s="703" t="s">
        <v>2299</v>
      </c>
      <c r="AY106" s="702"/>
      <c r="AZ106" s="703" t="s">
        <v>2299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Frankrijk</v>
      </c>
      <c r="AR107" s="725" t="str">
        <f ca="1">RIGHT(LEFT($AK$112,$BA107),2)</f>
        <v>D4</v>
      </c>
      <c r="AS107" s="700" t="str">
        <f ca="1">IF(AT107=$AR$11,$AQ$11,IF(AT107=$AR$12,$AQ$12,VLOOKUP(AT107,Voorblad!$X$67:$Z$98,2,FALSE)))</f>
        <v>Duitsland</v>
      </c>
      <c r="AT107" s="701" t="str">
        <f ca="1">RIGHT(LEFT($AK$106,$BA107),2)</f>
        <v>A1</v>
      </c>
      <c r="AU107" s="700" t="str">
        <f ca="1">IF(AV107=$AR$11,$AQ$11,IF(AV107=$AR$12,$AQ$12,VLOOKUP(AV107,Voorblad!$X$67:$Z$98,2,FALSE)))</f>
        <v>Engeland</v>
      </c>
      <c r="AV107" s="701" t="str">
        <f ca="1">RIGHT(LEFT($AL$106,$BA107),2)</f>
        <v>C4</v>
      </c>
      <c r="AW107" s="705" t="str">
        <f ca="1">IF(AX107=$AR$11,$AQ$11,IF(AX107=$AR$12,$AQ$12,VLOOKUP(AX107,Voorblad!$X$67:$Z$98,2,FALSE)))</f>
        <v>Portugal</v>
      </c>
      <c r="AX107" s="706" t="str">
        <f ca="1">RIGHT(LEFT($AK$109,$BA107),2)</f>
        <v>F3</v>
      </c>
      <c r="AY107" s="705" t="str">
        <f ca="1">IF(AZ107=$AR$11,$AQ$11,IF(AZ107=$AR$12,$AQ$12,VLOOKUP(AZ107,Voorblad!$X$67:$Z$98,2,FALSE)))</f>
        <v>Frankrijk</v>
      </c>
      <c r="AZ107" s="706" t="str">
        <f ca="1">RIGHT(LEFT($AL$109,$BA107),2)</f>
        <v>D4</v>
      </c>
      <c r="BA107" s="707">
        <v>2</v>
      </c>
    </row>
    <row r="108" spans="28:53" x14ac:dyDescent="0.25">
      <c r="AB108" s="720" t="str">
        <f>$AB$85</f>
        <v>nr.</v>
      </c>
      <c r="AC108" s="1196" t="str">
        <f>$AC$85</f>
        <v>suggestie - thuis</v>
      </c>
      <c r="AD108" s="1196"/>
      <c r="AE108" s="1196" t="str">
        <f>$AE$85</f>
        <v>suggestie - uit</v>
      </c>
      <c r="AF108" s="1196"/>
      <c r="AG108" s="1196" t="str">
        <f>$AG$85</f>
        <v>thuis code</v>
      </c>
      <c r="AH108" s="1196"/>
      <c r="AI108" s="1196" t="str">
        <f>$AG$85</f>
        <v>thuis code</v>
      </c>
      <c r="AJ108" s="1196"/>
      <c r="AK108" s="764" t="str">
        <f>$AK$85</f>
        <v>thuis menu</v>
      </c>
      <c r="AL108" s="764" t="str">
        <f>$AL$85</f>
        <v>uit menu</v>
      </c>
      <c r="AM108" s="1197" t="str">
        <f>$AM$85</f>
        <v>thuis (landen)</v>
      </c>
      <c r="AN108" s="1197"/>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238" t="str">
        <f ca="1">AG47</f>
        <v>F3</v>
      </c>
      <c r="AD109" s="1238"/>
      <c r="AE109" s="1238" t="str">
        <f ca="1">AG49</f>
        <v>D4</v>
      </c>
      <c r="AF109" s="1238"/>
      <c r="AG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F3</v>
      </c>
      <c r="AH109" s="1238"/>
      <c r="AI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D4</v>
      </c>
      <c r="AJ109" s="1238"/>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F3&amp;&amp;B4E1C2A1C4D4F2A3B3B2D2E4D3D1E3A2C3C1E2B1F4F1A4????????????????????????????????????????????????????????????????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D4&amp;&amp;B4E1C2A1C4F2A3B3B2D2E4D3D1F3E3A2C3C1E2B1F4F1A4????????????????????????????????????????????????????????????????</v>
      </c>
      <c r="AM109" s="1247" t="str">
        <f ca="1">IF(AG109="","",IF(LEN(AG109)&gt;=2,VLOOKUP(LEFT(AG109,2),Voorblad!$X$67:$Y$98,2)&amp;IF(LEN(AG109)&gt;=4," / "&amp;VLOOKUP(RIGHT(LEFT(AG109,4),2),Voorblad!$X$67:$Y$98,2),""),""))</f>
        <v>Portugal</v>
      </c>
      <c r="AN109" s="1247"/>
      <c r="AO109" s="717" t="str">
        <f ca="1">IF(AI109="","",IF(LEN(AI109)&gt;=2,VLOOKUP(LEFT(AI109,2),Voorblad!$X$67:$Y$98,2)&amp;IF(LEN(AI109)&gt;=4," / "&amp;VLOOKUP(RIGHT(LEFT(AI109,4),2),Voorblad!$X$67:$Y$98,2),""),""))</f>
        <v>Frankrijk</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6" t="s">
        <v>2317</v>
      </c>
      <c r="AD111" s="1196"/>
      <c r="AE111" s="1196"/>
      <c r="AF111" s="1196"/>
      <c r="AG111" s="1196" t="s">
        <v>2318</v>
      </c>
      <c r="AH111" s="1196"/>
      <c r="AI111" s="1196"/>
      <c r="AJ111" s="1196"/>
      <c r="AK111" s="1196" t="s">
        <v>2319</v>
      </c>
      <c r="AL111" s="1196"/>
      <c r="AM111" s="1197" t="s">
        <v>2320</v>
      </c>
      <c r="AN111" s="1197"/>
      <c r="AO111" s="1197"/>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2321</v>
      </c>
      <c r="AC112" s="1238" t="str">
        <f ca="1">AG57</f>
        <v>D4</v>
      </c>
      <c r="AD112" s="1238"/>
      <c r="AE112" s="1238"/>
      <c r="AF112" s="1238"/>
      <c r="AG11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D4</v>
      </c>
      <c r="AH112" s="1238"/>
      <c r="AI112" s="1238"/>
      <c r="AJ112" s="1238"/>
      <c r="AK112" s="123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D4&amp;&amp;B4E1C2A1C4F2A3B3B2D2E4D3D1F3E3A2C3C1E2B1F4F1A4????????????????????????????????????????????????????????????????</v>
      </c>
      <c r="AL112" s="1238"/>
      <c r="AM112" s="1247" t="str">
        <f ca="1">IF(AG112="","",IF(LEN(AG112)&gt;=2,VLOOKUP(LEFT(AG112,2),Voorblad!$X$67:$Y$98,2)&amp;IF(LEN(AG112)&gt;=4," / "&amp;VLOOKUP(RIGHT(LEFT(AG112,4),2),Voorblad!$X$67:$Y$98,2),""),""))</f>
        <v>Frankrijk</v>
      </c>
      <c r="AN112" s="1247"/>
      <c r="AO112" s="1247"/>
      <c r="AP112" s="266"/>
      <c r="AQ112" s="724" t="str">
        <f ca="1">IF(AR112=$AR$11,$AQ$11,IF(AR112=$AR$12,$AQ$12,VLOOKUP(AR112,Voorblad!$X$67:$Z$98,2,FALSE)))</f>
        <v>Duitsland</v>
      </c>
      <c r="AR112" s="725" t="str">
        <f t="shared" ca="1" si="31"/>
        <v>A1</v>
      </c>
      <c r="AS112" s="700" t="str">
        <f ca="1">IF(AT112=$AR$11,$AQ$11,IF(AT112=$AR$12,$AQ$12,VLOOKUP(AT112,Voorblad!$X$67:$Z$98,2,FALSE)))</f>
        <v>Engeland</v>
      </c>
      <c r="AT112" s="701" t="str">
        <f t="shared" ca="1" si="32"/>
        <v>C4</v>
      </c>
      <c r="AU112" s="700" t="str">
        <f ca="1">IF(AV112=$AR$11,$AQ$11,IF(AV112=$AR$12,$AQ$12,VLOOKUP(AV112,Voorblad!$X$67:$Z$98,2,FALSE)))</f>
        <v>Duitsland</v>
      </c>
      <c r="AV112" s="701" t="str">
        <f t="shared" ca="1" si="33"/>
        <v>A1</v>
      </c>
      <c r="AW112" s="705" t="str">
        <f ca="1">IF(AX112=$AR$11,$AQ$11,IF(AX112=$AR$12,$AQ$12,VLOOKUP(AX112,Voorblad!$X$67:$Z$98,2,FALSE)))</f>
        <v>Duitsland</v>
      </c>
      <c r="AX112" s="706" t="str">
        <f t="shared" ca="1" si="34"/>
        <v>A1</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Frankrijk</v>
      </c>
      <c r="AT113" s="701" t="str">
        <f t="shared" ca="1" si="32"/>
        <v>D4</v>
      </c>
      <c r="AU113" s="700" t="str">
        <f ca="1">IF(AV113=$AR$11,$AQ$11,IF(AV113=$AR$12,$AQ$12,VLOOKUP(AV113,Voorblad!$X$67:$Z$98,2,FALSE)))</f>
        <v>Frankrijk</v>
      </c>
      <c r="AV113" s="701" t="str">
        <f t="shared" ca="1" si="33"/>
        <v>D4</v>
      </c>
      <c r="AW113" s="705" t="str">
        <f ca="1">IF(AX113=$AR$11,$AQ$11,IF(AX113=$AR$12,$AQ$12,VLOOKUP(AX113,Voorblad!$X$67:$Z$98,2,FALSE)))</f>
        <v>Engeland</v>
      </c>
      <c r="AX113" s="706" t="str">
        <f t="shared" ca="1" si="34"/>
        <v>C4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Georgië</v>
      </c>
      <c r="AT114" s="701" t="str">
        <f t="shared" ca="1" si="32"/>
        <v>F2</v>
      </c>
      <c r="AU114" s="700" t="str">
        <f ca="1">IF(AV114=$AR$11,$AQ$11,IF(AV114=$AR$12,$AQ$12,VLOOKUP(AV114,Voorblad!$X$67:$Z$98,2,FALSE)))</f>
        <v>Georgië</v>
      </c>
      <c r="AV114" s="701" t="str">
        <f t="shared" ca="1" si="33"/>
        <v>F2</v>
      </c>
      <c r="AW114" s="705" t="str">
        <f ca="1">IF(AX114=$AR$11,$AQ$11,IF(AX114=$AR$12,$AQ$12,VLOOKUP(AX114,Voorblad!$X$67:$Z$98,2,FALSE)))</f>
        <v>Frankrijk</v>
      </c>
      <c r="AX114" s="706" t="str">
        <f t="shared" ca="1" si="34"/>
        <v>D4</v>
      </c>
      <c r="AY114" s="705" t="str">
        <f ca="1">IF(AZ114=$AR$11,$AQ$11,IF(AZ114=$AR$12,$AQ$12,VLOOKUP(AZ114,Voorblad!$X$67:$Z$98,2,FALSE)))</f>
        <v>Georgië</v>
      </c>
      <c r="AZ114" s="706" t="str">
        <f t="shared" ca="1" si="35"/>
        <v>F2</v>
      </c>
      <c r="BA114" s="708">
        <f t="shared" si="36"/>
        <v>16</v>
      </c>
    </row>
    <row r="115" spans="28:53" x14ac:dyDescent="0.25">
      <c r="AB115" s="1246" t="s">
        <v>2322</v>
      </c>
      <c r="AC115" s="1246"/>
      <c r="AD115" s="1246"/>
      <c r="AE115" s="1246"/>
      <c r="AF115" s="1246"/>
      <c r="AG115" s="1246"/>
      <c r="AH115" s="1246"/>
      <c r="AI115" s="1246"/>
      <c r="AJ115" s="1246"/>
      <c r="AK115" s="1246"/>
      <c r="AL115" s="1246"/>
      <c r="AM115" s="1246"/>
      <c r="AN115" s="1246"/>
      <c r="AO115" s="1246"/>
      <c r="AP115" s="1246"/>
      <c r="AQ115" s="724" t="str">
        <f ca="1">IF(AR115=$AR$11,$AQ$11,IF(AR115=$AR$12,$AQ$12,VLOOKUP(AR115,Voorblad!$X$67:$Z$98,2,FALSE)))</f>
        <v>Hongarije</v>
      </c>
      <c r="AR115" s="725" t="str">
        <f t="shared" ca="1" si="31"/>
        <v>A3</v>
      </c>
      <c r="AS115" s="700" t="str">
        <f ca="1">IF(AT115=$AR$11,$AQ$11,IF(AT115=$AR$12,$AQ$12,VLOOKUP(AT115,Voorblad!$X$67:$Z$98,2,FALSE)))</f>
        <v>Hongarije</v>
      </c>
      <c r="AT115" s="701" t="str">
        <f t="shared" ca="1" si="32"/>
        <v>A3</v>
      </c>
      <c r="AU115" s="700" t="str">
        <f ca="1">IF(AV115=$AR$11,$AQ$11,IF(AV115=$AR$12,$AQ$12,VLOOKUP(AV115,Voorblad!$X$67:$Z$98,2,FALSE)))</f>
        <v>Hongarije</v>
      </c>
      <c r="AV115" s="701" t="str">
        <f t="shared" ca="1" si="33"/>
        <v>A3</v>
      </c>
      <c r="AW115" s="705" t="str">
        <f ca="1">IF(AX115=$AR$11,$AQ$11,IF(AX115=$AR$12,$AQ$12,VLOOKUP(AX115,Voorblad!$X$67:$Z$98,2,FALSE)))</f>
        <v>Georgië</v>
      </c>
      <c r="AX115" s="706" t="str">
        <f t="shared" ca="1" si="34"/>
        <v>F2</v>
      </c>
      <c r="AY115" s="705" t="str">
        <f ca="1">IF(AZ115=$AR$11,$AQ$11,IF(AZ115=$AR$12,$AQ$12,VLOOKUP(AZ115,Voorblad!$X$67:$Z$98,2,FALSE)))</f>
        <v>Hongarije</v>
      </c>
      <c r="AZ115" s="706" t="str">
        <f t="shared" ca="1" si="35"/>
        <v>A3</v>
      </c>
      <c r="BA115" s="708">
        <f t="shared" si="36"/>
        <v>18</v>
      </c>
    </row>
    <row r="116" spans="28:53" x14ac:dyDescent="0.25">
      <c r="AB116" s="1246"/>
      <c r="AC116" s="1246"/>
      <c r="AD116" s="1246"/>
      <c r="AE116" s="1246"/>
      <c r="AF116" s="1246"/>
      <c r="AG116" s="1246"/>
      <c r="AH116" s="1246"/>
      <c r="AI116" s="1246"/>
      <c r="AJ116" s="1246"/>
      <c r="AK116" s="1246"/>
      <c r="AL116" s="1246"/>
      <c r="AM116" s="1246"/>
      <c r="AN116" s="1246"/>
      <c r="AO116" s="1246"/>
      <c r="AP116" s="1246"/>
      <c r="AQ116" s="724" t="str">
        <f ca="1">IF(AR116=$AR$11,$AQ$11,IF(AR116=$AR$12,$AQ$12,VLOOKUP(AR116,Voorblad!$X$67:$Z$98,2,FALSE)))</f>
        <v>Italië</v>
      </c>
      <c r="AR116" s="725" t="str">
        <f t="shared" ca="1" si="31"/>
        <v>B3</v>
      </c>
      <c r="AS116" s="700" t="str">
        <f ca="1">IF(AT116=$AR$11,$AQ$11,IF(AT116=$AR$12,$AQ$12,VLOOKUP(AT116,Voorblad!$X$67:$Z$98,2,FALSE)))</f>
        <v>Italië</v>
      </c>
      <c r="AT116" s="701" t="str">
        <f t="shared" ca="1" si="32"/>
        <v>B3</v>
      </c>
      <c r="AU116" s="700" t="str">
        <f ca="1">IF(AV116=$AR$11,$AQ$11,IF(AV116=$AR$12,$AQ$12,VLOOKUP(AV116,Voorblad!$X$67:$Z$98,2,FALSE)))</f>
        <v>Italië</v>
      </c>
      <c r="AV116" s="701" t="str">
        <f t="shared" ca="1" si="33"/>
        <v>B3</v>
      </c>
      <c r="AW116" s="705" t="str">
        <f ca="1">IF(AX116=$AR$11,$AQ$11,IF(AX116=$AR$12,$AQ$12,VLOOKUP(AX116,Voorblad!$X$67:$Z$98,2,FALSE)))</f>
        <v>Hongarije</v>
      </c>
      <c r="AX116" s="706" t="str">
        <f t="shared" ca="1" si="34"/>
        <v>A3</v>
      </c>
      <c r="AY116" s="705" t="str">
        <f ca="1">IF(AZ116=$AR$11,$AQ$11,IF(AZ116=$AR$12,$AQ$12,VLOOKUP(AZ116,Voorblad!$X$67:$Z$98,2,FALSE)))</f>
        <v>Italië</v>
      </c>
      <c r="AZ116" s="706" t="str">
        <f t="shared" ca="1" si="35"/>
        <v>B3</v>
      </c>
      <c r="BA116" s="708">
        <f t="shared" si="36"/>
        <v>20</v>
      </c>
    </row>
    <row r="117" spans="28:53" x14ac:dyDescent="0.25">
      <c r="AB117" s="491" t="s">
        <v>2241</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Kroatië</v>
      </c>
      <c r="AT117" s="701" t="str">
        <f t="shared" ca="1" si="32"/>
        <v>B2</v>
      </c>
      <c r="AU117" s="700" t="str">
        <f ca="1">IF(AV117=$AR$11,$AQ$11,IF(AV117=$AR$12,$AQ$12,VLOOKUP(AV117,Voorblad!$X$67:$Z$98,2,FALSE)))</f>
        <v>Kroatië</v>
      </c>
      <c r="AV117" s="701" t="str">
        <f t="shared" ca="1" si="33"/>
        <v>B2</v>
      </c>
      <c r="AW117" s="705" t="str">
        <f ca="1">IF(AX117=$AR$11,$AQ$11,IF(AX117=$AR$12,$AQ$12,VLOOKUP(AX117,Voorblad!$X$67:$Z$98,2,FALSE)))</f>
        <v>Italië</v>
      </c>
      <c r="AX117" s="706" t="str">
        <f t="shared" ca="1" si="34"/>
        <v>B3</v>
      </c>
      <c r="AY117" s="705" t="str">
        <f ca="1">IF(AZ117=$AR$11,$AQ$11,IF(AZ117=$AR$12,$AQ$12,VLOOKUP(AZ117,Voorblad!$X$67:$Z$98,2,FALSE)))</f>
        <v>Kroatië</v>
      </c>
      <c r="AZ117" s="706" t="str">
        <f t="shared" ca="1" si="35"/>
        <v>B2</v>
      </c>
      <c r="BA117" s="708">
        <f t="shared" si="36"/>
        <v>22</v>
      </c>
    </row>
    <row r="118" spans="28:53" x14ac:dyDescent="0.25">
      <c r="AB118" s="419"/>
      <c r="AC118" s="494" t="s">
        <v>2323</v>
      </c>
      <c r="AD118" s="494"/>
      <c r="AE118" s="494"/>
      <c r="AF118" s="748" t="s">
        <v>2324</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|CH|IT|DE|DK|GB|AT|ES|CZ|NL|UA|PT|HR|BE|RS|FR|TR|</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Nederland</v>
      </c>
      <c r="AT118" s="701" t="str">
        <f t="shared" ca="1" si="32"/>
        <v>D2</v>
      </c>
      <c r="AU118" s="700" t="str">
        <f ca="1">IF(AV118=$AR$11,$AQ$11,IF(AV118=$AR$12,$AQ$12,VLOOKUP(AV118,Voorblad!$X$67:$Z$98,2,FALSE)))</f>
        <v>Nederland</v>
      </c>
      <c r="AV118" s="701" t="str">
        <f t="shared" ca="1" si="33"/>
        <v>D2</v>
      </c>
      <c r="AW118" s="705" t="str">
        <f ca="1">IF(AX118=$AR$11,$AQ$11,IF(AX118=$AR$12,$AQ$12,VLOOKUP(AX118,Voorblad!$X$67:$Z$98,2,FALSE)))</f>
        <v>Kroatië</v>
      </c>
      <c r="AX118" s="706" t="str">
        <f t="shared" ca="1" si="34"/>
        <v>B2</v>
      </c>
      <c r="AY118" s="705" t="str">
        <f ca="1">IF(AZ118=$AR$11,$AQ$11,IF(AZ118=$AR$12,$AQ$12,VLOOKUP(AZ118,Voorblad!$X$67:$Z$98,2,FALSE)))</f>
        <v>Nederland</v>
      </c>
      <c r="AZ118" s="706" t="str">
        <f t="shared" ca="1" si="35"/>
        <v>D2</v>
      </c>
      <c r="BA118" s="708">
        <f t="shared" si="36"/>
        <v>24</v>
      </c>
    </row>
    <row r="119" spans="28:53" x14ac:dyDescent="0.25">
      <c r="AB119" s="419"/>
      <c r="AC119" s="494" t="s">
        <v>2325</v>
      </c>
      <c r="AD119" s="494"/>
      <c r="AE119" s="494"/>
      <c r="AF119" s="748" t="s">
        <v>2324</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Oekraïne</v>
      </c>
      <c r="AT119" s="701" t="str">
        <f t="shared" ca="1" si="32"/>
        <v>E4</v>
      </c>
      <c r="AU119" s="700" t="str">
        <f ca="1">IF(AV119=$AR$11,$AQ$11,IF(AV119=$AR$12,$AQ$12,VLOOKUP(AV119,Voorblad!$X$67:$Z$98,2,FALSE)))</f>
        <v>Oekraïne</v>
      </c>
      <c r="AV119" s="701" t="str">
        <f t="shared" ca="1" si="33"/>
        <v>E4</v>
      </c>
      <c r="AW119" s="705" t="str">
        <f ca="1">IF(AX119=$AR$11,$AQ$11,IF(AX119=$AR$12,$AQ$12,VLOOKUP(AX119,Voorblad!$X$67:$Z$98,2,FALSE)))</f>
        <v>Nederland</v>
      </c>
      <c r="AX119" s="706" t="str">
        <f t="shared" ca="1" si="34"/>
        <v>D2</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2326</v>
      </c>
      <c r="AD120" s="419" t="s">
        <v>2327</v>
      </c>
      <c r="AE120" s="419" t="str">
        <f>Voorblad!$Z$83</f>
        <v>BE</v>
      </c>
      <c r="AF120" s="748" t="s">
        <v>2324</v>
      </c>
      <c r="AG120" s="419" t="str">
        <f t="shared" ref="AG120:AG127" ca="1" si="38">IF(SUBSTITUTE($AG$118,AE120,"##")=$AG$118,"NEE","JA")</f>
        <v>JA</v>
      </c>
      <c r="AH120" s="419"/>
      <c r="AI120" s="419"/>
      <c r="AJ120" s="419"/>
      <c r="AK120" s="419"/>
      <c r="AL120" s="419"/>
      <c r="AM120" s="419"/>
      <c r="AN120" s="419"/>
      <c r="AO120" s="498" t="s">
        <v>2328</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Oostenrijk</v>
      </c>
      <c r="AT120" s="701" t="str">
        <f t="shared" ca="1" si="32"/>
        <v>D3</v>
      </c>
      <c r="AU120" s="700" t="str">
        <f ca="1">IF(AV120=$AR$11,$AQ$11,IF(AV120=$AR$12,$AQ$12,VLOOKUP(AV120,Voorblad!$X$67:$Z$98,2,FALSE)))</f>
        <v>Oostenrijk</v>
      </c>
      <c r="AV120" s="701" t="str">
        <f t="shared" ca="1" si="33"/>
        <v>D3</v>
      </c>
      <c r="AW120" s="705" t="str">
        <f ca="1">IF(AX120=$AR$11,$AQ$11,IF(AX120=$AR$12,$AQ$12,VLOOKUP(AX120,Voorblad!$X$67:$Z$98,2,FALSE)))</f>
        <v>Oekraïne</v>
      </c>
      <c r="AX120" s="706" t="str">
        <f t="shared" ca="1" si="34"/>
        <v>E4</v>
      </c>
      <c r="AY120" s="705" t="str">
        <f ca="1">IF(AZ120=$AR$11,$AQ$11,IF(AZ120=$AR$12,$AQ$12,VLOOKUP(AZ120,Voorblad!$X$67:$Z$98,2,FALSE)))</f>
        <v>Oostenrijk</v>
      </c>
      <c r="AZ120" s="706" t="str">
        <f t="shared" ca="1" si="35"/>
        <v>D3</v>
      </c>
      <c r="BA120" s="708">
        <f t="shared" si="37"/>
        <v>28</v>
      </c>
    </row>
    <row r="121" spans="28:53" x14ac:dyDescent="0.25">
      <c r="AB121" s="419"/>
      <c r="AC121" s="494" t="s">
        <v>2329</v>
      </c>
      <c r="AD121" s="419" t="s">
        <v>2327</v>
      </c>
      <c r="AE121" s="419" t="str">
        <f>Voorblad!$Z$67</f>
        <v>DE</v>
      </c>
      <c r="AF121" s="748" t="s">
        <v>2324</v>
      </c>
      <c r="AG121" s="419" t="str">
        <f t="shared" ca="1" si="38"/>
        <v>JA</v>
      </c>
      <c r="AH121" s="419"/>
      <c r="AI121" s="419"/>
      <c r="AJ121" s="419"/>
      <c r="AK121" s="419"/>
      <c r="AL121" s="419"/>
      <c r="AM121" s="419"/>
      <c r="AN121" s="419"/>
      <c r="AO121" s="498" t="s">
        <v>2330</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Polen</v>
      </c>
      <c r="AT121" s="701" t="str">
        <f t="shared" ca="1" si="32"/>
        <v>D1</v>
      </c>
      <c r="AU121" s="700" t="str">
        <f ca="1">IF(AV121=$AR$11,$AQ$11,IF(AV121=$AR$12,$AQ$12,VLOOKUP(AV121,Voorblad!$X$67:$Z$98,2,FALSE)))</f>
        <v>Polen</v>
      </c>
      <c r="AV121" s="701" t="str">
        <f t="shared" ca="1" si="33"/>
        <v>D1</v>
      </c>
      <c r="AW121" s="705" t="str">
        <f ca="1">IF(AX121=$AR$11,$AQ$11,IF(AX121=$AR$12,$AQ$12,VLOOKUP(AX121,Voorblad!$X$67:$Z$98,2,FALSE)))</f>
        <v>Oostenrijk</v>
      </c>
      <c r="AX121" s="706" t="str">
        <f t="shared" ca="1" si="34"/>
        <v>D3</v>
      </c>
      <c r="AY121" s="705" t="str">
        <f ca="1">IF(AZ121=$AR$11,$AQ$11,IF(AZ121=$AR$12,$AQ$12,VLOOKUP(AZ121,Voorblad!$X$67:$Z$98,2,FALSE)))</f>
        <v>Polen</v>
      </c>
      <c r="AZ121" s="706" t="str">
        <f t="shared" ca="1" si="35"/>
        <v>D1</v>
      </c>
      <c r="BA121" s="708">
        <f t="shared" si="37"/>
        <v>30</v>
      </c>
    </row>
    <row r="122" spans="28:53" x14ac:dyDescent="0.25">
      <c r="AB122" s="419"/>
      <c r="AC122" s="494" t="s">
        <v>2331</v>
      </c>
      <c r="AD122" s="419" t="s">
        <v>2327</v>
      </c>
      <c r="AE122" s="419" t="str">
        <f>Voorblad!$Z$78</f>
        <v>GB</v>
      </c>
      <c r="AF122" s="748" t="s">
        <v>2324</v>
      </c>
      <c r="AG122" s="419" t="str">
        <f t="shared" ca="1" si="38"/>
        <v>JA</v>
      </c>
      <c r="AH122" s="419"/>
      <c r="AI122" s="419"/>
      <c r="AJ122" s="419"/>
      <c r="AK122" s="419"/>
      <c r="AL122" s="419"/>
      <c r="AM122" s="419"/>
      <c r="AN122" s="419"/>
      <c r="AO122" s="498" t="s">
        <v>2332</v>
      </c>
      <c r="AP122" s="499">
        <v>8</v>
      </c>
      <c r="AQ122" s="724" t="str">
        <f ca="1">IF(AR122=$AR$11,$AQ$11,IF(AR122=$AR$12,$AQ$12,VLOOKUP(AR122,Voorblad!$X$67:$Z$98,2,FALSE)))</f>
        <v>Portugal</v>
      </c>
      <c r="AR122" s="725" t="str">
        <f t="shared" ca="1" si="31"/>
        <v>F3</v>
      </c>
      <c r="AS122" s="700" t="str">
        <f ca="1">IF(AT122=$AR$11,$AQ$11,IF(AT122=$AR$12,$AQ$12,VLOOKUP(AT122,Voorblad!$X$67:$Z$98,2,FALSE)))</f>
        <v>Portugal</v>
      </c>
      <c r="AT122" s="701" t="str">
        <f t="shared" ca="1" si="32"/>
        <v>F3</v>
      </c>
      <c r="AU122" s="700" t="str">
        <f ca="1">IF(AV122=$AR$11,$AQ$11,IF(AV122=$AR$12,$AQ$12,VLOOKUP(AV122,Voorblad!$X$67:$Z$98,2,FALSE)))</f>
        <v>Portugal</v>
      </c>
      <c r="AV122" s="701" t="str">
        <f t="shared" ca="1" si="33"/>
        <v>F3</v>
      </c>
      <c r="AW122" s="705" t="str">
        <f ca="1">IF(AX122=$AR$11,$AQ$11,IF(AX122=$AR$12,$AQ$12,VLOOKUP(AX122,Voorblad!$X$67:$Z$98,2,FALSE)))</f>
        <v>Polen</v>
      </c>
      <c r="AX122" s="706" t="str">
        <f t="shared" ca="1" si="34"/>
        <v>D1</v>
      </c>
      <c r="AY122" s="705" t="str">
        <f ca="1">IF(AZ122=$AR$11,$AQ$11,IF(AZ122=$AR$12,$AQ$12,VLOOKUP(AZ122,Voorblad!$X$67:$Z$98,2,FALSE)))</f>
        <v>Portugal</v>
      </c>
      <c r="AZ122" s="706" t="str">
        <f t="shared" ca="1" si="35"/>
        <v>F3</v>
      </c>
      <c r="BA122" s="708">
        <f t="shared" si="37"/>
        <v>32</v>
      </c>
    </row>
    <row r="123" spans="28:53" x14ac:dyDescent="0.25">
      <c r="AB123" s="419"/>
      <c r="AC123" s="494" t="s">
        <v>2333</v>
      </c>
      <c r="AD123" s="419" t="s">
        <v>2327</v>
      </c>
      <c r="AE123" s="419" t="str">
        <f>Voorblad!$Z$82</f>
        <v>FR</v>
      </c>
      <c r="AF123" s="748" t="s">
        <v>2324</v>
      </c>
      <c r="AG123" s="419" t="str">
        <f t="shared" ca="1" si="38"/>
        <v>JA</v>
      </c>
      <c r="AH123" s="419"/>
      <c r="AI123" s="419"/>
      <c r="AJ123" s="419"/>
      <c r="AK123" s="419"/>
      <c r="AL123" s="419"/>
      <c r="AM123" s="419"/>
      <c r="AN123" s="419"/>
      <c r="AO123" s="498" t="s">
        <v>2334</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2335</v>
      </c>
      <c r="AD124" s="419" t="s">
        <v>2327</v>
      </c>
      <c r="AE124" s="419" t="str">
        <f>Voorblad!$Z$73</f>
        <v>IT</v>
      </c>
      <c r="AF124" s="748" t="s">
        <v>2324</v>
      </c>
      <c r="AG124" s="419" t="str">
        <f t="shared" ca="1" si="38"/>
        <v>JA</v>
      </c>
      <c r="AH124" s="419"/>
      <c r="AI124" s="419"/>
      <c r="AJ124" s="419"/>
      <c r="AK124" s="419"/>
      <c r="AL124" s="419"/>
      <c r="AM124" s="419"/>
      <c r="AN124" s="748" t="s">
        <v>2324</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2336</v>
      </c>
      <c r="AD125" s="419" t="s">
        <v>2327</v>
      </c>
      <c r="AE125" s="419" t="str">
        <f>Voorblad!$Z$80</f>
        <v>NL</v>
      </c>
      <c r="AF125" s="748" t="s">
        <v>2324</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2337</v>
      </c>
      <c r="AD126" s="419" t="s">
        <v>2327</v>
      </c>
      <c r="AE126" s="419" t="str">
        <f>Voorblad!$Z$89</f>
        <v>PT</v>
      </c>
      <c r="AF126" s="748" t="s">
        <v>2324</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2338</v>
      </c>
      <c r="AD127" s="419" t="s">
        <v>2327</v>
      </c>
      <c r="AE127" s="419" t="str">
        <f>Voorblad!$Z$71</f>
        <v>ES</v>
      </c>
      <c r="AF127" s="748" t="s">
        <v>2324</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2339</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2340</v>
      </c>
      <c r="AD129" s="419"/>
      <c r="AE129" s="419" t="s">
        <v>2327</v>
      </c>
      <c r="AF129" s="494" t="str">
        <f>"HUIDIG BLAD"</f>
        <v>HUIDIG BLAD</v>
      </c>
      <c r="AG129" s="494"/>
      <c r="AH129" s="419"/>
      <c r="AI129" s="419"/>
      <c r="AJ129" s="419"/>
      <c r="AK129" s="419"/>
      <c r="AL129" s="419"/>
      <c r="AM129" s="419"/>
      <c r="AN129" s="419"/>
      <c r="AO129" s="498" t="s">
        <v>2341</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2342</v>
      </c>
      <c r="AD130" s="419"/>
      <c r="AE130" s="419" t="s">
        <v>2327</v>
      </c>
      <c r="AF130" s="419" t="str">
        <f ca="1">IF($AL$18="GOED",$AF$18,$AL$18)</f>
        <v>AT</v>
      </c>
      <c r="AG130" s="419" t="s">
        <v>2343</v>
      </c>
      <c r="AH130" s="494" t="s">
        <v>2344</v>
      </c>
      <c r="AI130" s="419"/>
      <c r="AJ130" s="419" t="s">
        <v>2327</v>
      </c>
      <c r="AK130" s="419" t="str">
        <f ca="1">IF($AK$40="GOED",$AD$40,$AK$40)</f>
        <v>GB</v>
      </c>
      <c r="AL130" s="748" t="s">
        <v>2324</v>
      </c>
      <c r="AM130" s="494" t="str">
        <f ca="1">IF(OR(AF130="LEEG",AF130="FOUT",AF130="ONGELDIG",AK130="LEEG",AK130="FOUT",AK130="ONGELDIG"),"onvoldoende gegevens",IF(AF130=AK130,"JA","NEE"))</f>
        <v>NEE</v>
      </c>
      <c r="AN130" s="419"/>
      <c r="AO130" s="498" t="s">
        <v>2330</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2345</v>
      </c>
      <c r="AD131" s="419"/>
      <c r="AE131" s="419" t="s">
        <v>2327</v>
      </c>
      <c r="AF131" s="419" t="str">
        <f ca="1">IF($AL$20="GOED",$AF$20,$AL$20)</f>
        <v>CZ</v>
      </c>
      <c r="AG131" s="419" t="s">
        <v>2343</v>
      </c>
      <c r="AH131" s="494" t="s">
        <v>2346</v>
      </c>
      <c r="AI131" s="419"/>
      <c r="AJ131" s="419" t="s">
        <v>2327</v>
      </c>
      <c r="AK131" s="419" t="str">
        <f ca="1">IF($AK$36="GOED",$AD$36,$AK$36)</f>
        <v>ES</v>
      </c>
      <c r="AL131" s="748" t="s">
        <v>2324</v>
      </c>
      <c r="AM131" s="494" t="str">
        <f ca="1">IF(OR(AF131="LEEG",AF131="FOUT",AF131="ONGELDIG",AK131="LEEG",AK131="FOUT",AK131="ONGELDIG"),"onvoldoende gegevens",IF(AF131=AK131,"JA","NEE"))</f>
        <v>NEE</v>
      </c>
      <c r="AN131" s="419"/>
      <c r="AO131" s="498" t="s">
        <v>2332</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2347</v>
      </c>
      <c r="AD132" s="419"/>
      <c r="AE132" s="419" t="s">
        <v>2327</v>
      </c>
      <c r="AF132" s="419" t="str">
        <f ca="1">IF($AL$24="GOED",$AF$24,$AL$24)</f>
        <v>HR</v>
      </c>
      <c r="AG132" s="419" t="s">
        <v>2343</v>
      </c>
      <c r="AH132" s="494" t="s">
        <v>2348</v>
      </c>
      <c r="AI132" s="419"/>
      <c r="AJ132" s="419" t="s">
        <v>2327</v>
      </c>
      <c r="AK132" s="419" t="str">
        <f ca="1">IF($AK$38="GOED",$AD$38,$AK$38)</f>
        <v>PT</v>
      </c>
      <c r="AL132" s="748" t="s">
        <v>2324</v>
      </c>
      <c r="AM132" s="494" t="str">
        <f ca="1">IF(OR(AF132="LEEG",AF132="FOUT",AF132="ONGELDIG",AK132="LEEG",AK132="FOUT",AK132="ONGELDIG"),"onvoldoende gegevens",IF(AF132=AK132,"JA","NEE"))</f>
        <v>NEE</v>
      </c>
      <c r="AN132" s="494"/>
      <c r="AO132" s="498" t="s">
        <v>2334</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2349</v>
      </c>
      <c r="AD133" s="419"/>
      <c r="AE133" s="419" t="s">
        <v>2327</v>
      </c>
      <c r="AF133" s="419" t="str">
        <f ca="1">IF($AL$26="GOED",$AF$26,$AL$26)</f>
        <v>RS</v>
      </c>
      <c r="AG133" s="419" t="s">
        <v>2343</v>
      </c>
      <c r="AH133" s="494" t="s">
        <v>2350</v>
      </c>
      <c r="AI133" s="419"/>
      <c r="AJ133" s="419" t="s">
        <v>2327</v>
      </c>
      <c r="AK133" s="419" t="str">
        <f ca="1">IF($AK$42="GOED",$AD$42,$AK$42)</f>
        <v>BE</v>
      </c>
      <c r="AL133" s="748" t="s">
        <v>2324</v>
      </c>
      <c r="AM133" s="494" t="str">
        <f ca="1">IF(OR(AF133="LEEG",AF133="FOUT",AF133="ONGELDIG",AK133="LEEG",AK133="FOUT",AK133="ONGELDIG"),"onvoldoende gegevens",IF(AF133=AK133,"JA","NEE"))</f>
        <v>NEE</v>
      </c>
      <c r="AN133" s="748" t="s">
        <v>2324</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2351</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2340</v>
      </c>
      <c r="AD139" s="419"/>
      <c r="AE139" s="419" t="s">
        <v>2327</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1948</v>
      </c>
      <c r="AC140" s="494" t="str">
        <f>IF($AF$139="HUIDIG BLAD","wed. 37t","nr.1 grp A")</f>
        <v>nr.1 grp A</v>
      </c>
      <c r="AD140" s="419" t="s">
        <v>2327</v>
      </c>
      <c r="AE140" s="419" t="str">
        <f ca="1">IF($AF$139="HUIDIG BLAD",IF($AK$16="GOED",$AD$16,$AK$16),IF('Eindstand Groep'!$Y$15="FOUT","FOUT",LEFT('Eindstand Groep'!$Y$15,2)))</f>
        <v>DE</v>
      </c>
      <c r="AF140" s="419"/>
      <c r="AG140" s="419" t="s">
        <v>2343</v>
      </c>
      <c r="AH140" s="494" t="s">
        <v>2352</v>
      </c>
      <c r="AI140" s="419"/>
      <c r="AJ140" s="419" t="s">
        <v>2327</v>
      </c>
      <c r="AK140" s="419" t="str">
        <f ca="1">IF($AK$38="GOED",$AD$38,$AK$38)</f>
        <v>PT</v>
      </c>
      <c r="AL140" s="748" t="s">
        <v>2324</v>
      </c>
      <c r="AM140" s="494" t="str">
        <f ca="1">IF(OR(AE140="LEEG",AE140="FOUT",AE140="ONGELDIG",AK140="LEEG",AK140="FOUT",AK140="ONGELDIG"),"onvoldoende gegevens",IF(AE140=AK140,"JA","NEE"))</f>
        <v>NEE</v>
      </c>
      <c r="AN140" s="419"/>
      <c r="AO140" s="498" t="s">
        <v>2341</v>
      </c>
      <c r="AP140" s="757">
        <f ca="1">COUNTIF(AM140:AM147,"onvoldoende gegevens")</f>
        <v>0</v>
      </c>
      <c r="AQ140" s="1249" t="s">
        <v>2171</v>
      </c>
      <c r="AR140" s="1249"/>
      <c r="AS140" s="1249"/>
      <c r="AT140" s="1249"/>
      <c r="AU140" s="1249"/>
      <c r="AV140" s="1249"/>
      <c r="AW140" s="1249"/>
      <c r="AX140" s="1249"/>
      <c r="AY140" s="745"/>
      <c r="AZ140" s="745"/>
      <c r="BA140" s="745"/>
    </row>
    <row r="141" spans="28:53" ht="15" customHeight="1" x14ac:dyDescent="0.25">
      <c r="AB141" s="846" t="s">
        <v>2224</v>
      </c>
      <c r="AC141" s="494" t="str">
        <f>IF($AF$139="HUIDIG BLAD","wed. 40t","nr.1 grp C")</f>
        <v>nr.1 grp C</v>
      </c>
      <c r="AD141" s="419" t="s">
        <v>2327</v>
      </c>
      <c r="AE141" s="419" t="str">
        <f ca="1">IF($AF$139="HUIDIG BLAD",IF($AK$18="GOED",$AD$18,$AK$18),IF('Eindstand Groep'!$Y$25="FOUT","FOUT",LEFT('Eindstand Groep'!$Y$25,2)))</f>
        <v>GB</v>
      </c>
      <c r="AF141" s="419"/>
      <c r="AG141" s="419" t="s">
        <v>2343</v>
      </c>
      <c r="AH141" s="494" t="s">
        <v>2344</v>
      </c>
      <c r="AI141" s="419"/>
      <c r="AJ141" s="419" t="s">
        <v>2327</v>
      </c>
      <c r="AK141" s="419" t="str">
        <f ca="1">IF($AK$42="GOED",$AD$42,$AK$42)</f>
        <v>BE</v>
      </c>
      <c r="AL141" s="748" t="s">
        <v>2324</v>
      </c>
      <c r="AM141" s="494" t="str">
        <f t="shared" ref="AM141:AM147" ca="1" si="39">IF(OR(AE141="LEEG",AE141="FOUT",AE141="ONGELDIG",AK141="LEEG",AK141="FOUT",AK141="ONGELDIG"),"onvoldoende gegevens",IF(AE141=AK141,"JA","NEE"))</f>
        <v>NEE</v>
      </c>
      <c r="AN141" s="419"/>
      <c r="AO141" s="498" t="s">
        <v>2330</v>
      </c>
      <c r="AP141" s="757">
        <f ca="1">COUNTIF(AM140:AM147,"JA")</f>
        <v>0</v>
      </c>
      <c r="AQ141" s="1250"/>
      <c r="AR141" s="1250"/>
      <c r="AS141" s="1250"/>
      <c r="AT141" s="1250"/>
      <c r="AU141" s="1250"/>
      <c r="AV141" s="1250"/>
      <c r="AW141" s="1250"/>
      <c r="AX141" s="1250"/>
      <c r="AY141" s="284" t="s">
        <v>1890</v>
      </c>
      <c r="AZ141" s="284" t="s">
        <v>2353</v>
      </c>
      <c r="BA141" s="284" t="s">
        <v>2189</v>
      </c>
    </row>
    <row r="142" spans="28:53" x14ac:dyDescent="0.25">
      <c r="AB142" s="846" t="s">
        <v>2227</v>
      </c>
      <c r="AC142" s="494" t="str">
        <f>IF($AF$139="HUIDIG BLAD","wed. 39t","nr.1 grp B")</f>
        <v>nr.1 grp B</v>
      </c>
      <c r="AD142" s="419" t="s">
        <v>2327</v>
      </c>
      <c r="AE142" s="419" t="str">
        <f ca="1">IF($AF$139="HUIDIG BLAD",IF($AK$20="GOED",$AD$20,$AK$20),IF('Eindstand Groep'!$Z$15="FOUT","FOUT",LEFT('Eindstand Groep'!$Z$15,2)))</f>
        <v>ES</v>
      </c>
      <c r="AF142" s="419"/>
      <c r="AG142" s="419" t="s">
        <v>2343</v>
      </c>
      <c r="AH142" s="494" t="s">
        <v>2346</v>
      </c>
      <c r="AI142" s="419"/>
      <c r="AJ142" s="419" t="s">
        <v>2327</v>
      </c>
      <c r="AK142" s="419" t="str">
        <f ca="1">IF($AK$38="GOED",$AF$38,$AK$38)</f>
        <v>NL</v>
      </c>
      <c r="AL142" s="748" t="s">
        <v>2324</v>
      </c>
      <c r="AM142" s="494" t="str">
        <f t="shared" ca="1" si="39"/>
        <v>NEE</v>
      </c>
      <c r="AN142" s="419"/>
      <c r="AO142" s="498" t="s">
        <v>2332</v>
      </c>
      <c r="AP142" s="757">
        <v>5</v>
      </c>
      <c r="AQ142" s="1250"/>
      <c r="AR142" s="1250"/>
      <c r="AS142" s="1250"/>
      <c r="AT142" s="1250"/>
      <c r="AU142" s="1250"/>
      <c r="AV142" s="1250"/>
      <c r="AW142" s="1250"/>
      <c r="AX142" s="1250"/>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5</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3</v>
      </c>
    </row>
    <row r="143" spans="28:53" x14ac:dyDescent="0.25">
      <c r="AB143" s="846" t="s">
        <v>2232</v>
      </c>
      <c r="AC143" s="494" t="str">
        <f>IF($AF$139="HUIDIG BLAD","wed. 41t","nr.1 grp F")</f>
        <v>nr.1 grp F</v>
      </c>
      <c r="AD143" s="419" t="s">
        <v>2327</v>
      </c>
      <c r="AE143" s="419" t="str">
        <f ca="1">IF($AF$139="HUIDIG BLAD",IF($AK$24="GOED",$AD$24,$AK$24),IF('Eindstand Groep'!$Z$35="FOUT","FOUT",LEFT('Eindstand Groep'!$Z$35,2)))</f>
        <v>PT</v>
      </c>
      <c r="AF143" s="419"/>
      <c r="AG143" s="419" t="s">
        <v>2343</v>
      </c>
      <c r="AH143" s="494" t="s">
        <v>2348</v>
      </c>
      <c r="AI143" s="419"/>
      <c r="AJ143" s="419" t="s">
        <v>2327</v>
      </c>
      <c r="AK143" s="419" t="str">
        <f ca="1">IF($AL$42="GOED",$AF$42,$AL$42)</f>
        <v>FR</v>
      </c>
      <c r="AL143" s="748" t="s">
        <v>2324</v>
      </c>
      <c r="AM143" s="494" t="str">
        <f t="shared" ca="1" si="39"/>
        <v>NEE</v>
      </c>
      <c r="AN143" s="419"/>
      <c r="AO143" s="498" t="s">
        <v>2334</v>
      </c>
      <c r="AP143" s="757">
        <f ca="1">COUNTIF(AM140:AM147,"NEE")</f>
        <v>8</v>
      </c>
      <c r="AQ143" s="500" t="s">
        <v>2354</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15</v>
      </c>
      <c r="AS143" s="1190" t="s">
        <v>2285</v>
      </c>
      <c r="AT143" s="1190"/>
      <c r="AU143" s="1190"/>
      <c r="AV143" s="1190"/>
      <c r="AW143" s="1190"/>
      <c r="AX143" s="1190"/>
      <c r="AY143" s="285" t="str">
        <f>Voorblad!Z68</f>
        <v>SC</v>
      </c>
      <c r="AZ143" s="285">
        <f t="shared" ca="1" si="40"/>
        <v>0</v>
      </c>
      <c r="BA143" s="285">
        <f t="shared" ca="1" si="41"/>
        <v>0</v>
      </c>
    </row>
    <row r="144" spans="28:53" x14ac:dyDescent="0.25">
      <c r="AB144" s="846" t="s">
        <v>2226</v>
      </c>
      <c r="AC144" s="494" t="str">
        <f>IF($AF$139="HUIDIG BLAD","wed. 26t","nr.1 grp D")</f>
        <v>nr.1 grp D</v>
      </c>
      <c r="AD144" s="419" t="s">
        <v>2327</v>
      </c>
      <c r="AE144" s="419" t="str">
        <f ca="1">IF($AF$139="HUIDIG BLAD",IF($AK$26="GOED",$AD$26,$AK$26),IF('Eindstand Groep'!$Z$25="FOUT","FOUT",LEFT('Eindstand Groep'!$Z$25,2)))</f>
        <v>FR</v>
      </c>
      <c r="AF144" s="419"/>
      <c r="AG144" s="419" t="s">
        <v>2343</v>
      </c>
      <c r="AH144" s="494" t="s">
        <v>2350</v>
      </c>
      <c r="AI144" s="419"/>
      <c r="AJ144" s="419" t="s">
        <v>2327</v>
      </c>
      <c r="AK144" s="419" t="str">
        <f ca="1">IF($AK$36="GOED",$AD$36,$AK$36)</f>
        <v>ES</v>
      </c>
      <c r="AL144" s="748" t="s">
        <v>2324</v>
      </c>
      <c r="AM144" s="494" t="str">
        <f t="shared" ca="1" si="39"/>
        <v>NEE</v>
      </c>
      <c r="AN144" s="748" t="s">
        <v>2324</v>
      </c>
      <c r="AO144" s="497" t="str">
        <f ca="1">IF(AP141&gt;=AP142,"JA",IF(AP140&gt;0,"onvoldoende gegevens","NEE"))</f>
        <v>NEE</v>
      </c>
      <c r="AP144" s="749"/>
      <c r="AQ144" s="500" t="s">
        <v>2355</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65"/>
      <c r="AT144" s="72"/>
      <c r="AU144" s="1191">
        <f>LARGE(AB14:AB56,1)</f>
        <v>5</v>
      </c>
      <c r="AV144" s="1191"/>
      <c r="AW144" s="265"/>
      <c r="AX144" s="72"/>
      <c r="AY144" s="285" t="str">
        <f>Voorblad!Z69</f>
        <v>HU</v>
      </c>
      <c r="AZ144" s="285">
        <f t="shared" ca="1" si="40"/>
        <v>0</v>
      </c>
      <c r="BA144" s="285">
        <f t="shared" ca="1" si="41"/>
        <v>0</v>
      </c>
    </row>
    <row r="145" spans="26:53" x14ac:dyDescent="0.25">
      <c r="AB145" s="846" t="s">
        <v>2229</v>
      </c>
      <c r="AC145" s="494" t="str">
        <f>IF($AF$139="HUIDIG BLAD","wed. 28t","nr.1 grp E")</f>
        <v>nr.1 grp E</v>
      </c>
      <c r="AD145" s="419" t="s">
        <v>2327</v>
      </c>
      <c r="AE145" s="419" t="str">
        <f ca="1">IF($AF$139="HUIDIG BLAD",IF($AK$28="GOED",$AD$28,$AK$28),IF('Eindstand Groep'!$Y$35="FOUT","FOUT",LEFT('Eindstand Groep'!$Y$35,2)))</f>
        <v>BE</v>
      </c>
      <c r="AF145" s="419"/>
      <c r="AG145" s="419" t="s">
        <v>2343</v>
      </c>
      <c r="AH145" s="494" t="s">
        <v>2356</v>
      </c>
      <c r="AI145" s="419"/>
      <c r="AJ145" s="419" t="s">
        <v>2327</v>
      </c>
      <c r="AK145" s="419" t="str">
        <f ca="1">IF($AK$40="GOED",$AD$40,$AK$40)</f>
        <v>GB</v>
      </c>
      <c r="AL145" s="748" t="s">
        <v>2324</v>
      </c>
      <c r="AM145" s="494" t="str">
        <f t="shared" ca="1" si="39"/>
        <v>NEE</v>
      </c>
      <c r="AN145" s="419"/>
      <c r="AO145" s="419"/>
      <c r="AP145" s="749"/>
      <c r="AQ145" s="265"/>
      <c r="AR145" s="718"/>
      <c r="AS145" s="265"/>
      <c r="AT145" s="72"/>
      <c r="AU145" s="265"/>
      <c r="AV145" s="718"/>
      <c r="AW145" s="265"/>
      <c r="AX145" s="72"/>
      <c r="AY145" s="285" t="str">
        <f>Voorblad!Z70</f>
        <v>CH</v>
      </c>
      <c r="AZ145" s="285">
        <f t="shared" ca="1" si="40"/>
        <v>0</v>
      </c>
      <c r="BA145" s="285">
        <f t="shared" ca="1" si="41"/>
        <v>2</v>
      </c>
    </row>
    <row r="146" spans="26:53" ht="18.75" x14ac:dyDescent="0.25">
      <c r="AB146" s="846" t="s">
        <v>2230</v>
      </c>
      <c r="AC146" s="494" t="str">
        <f>IF($AF$139="HUIDIG BLAD","wed. 54t","nr.1 grp G")</f>
        <v>nr.1 grp G</v>
      </c>
      <c r="AD146" s="419" t="s">
        <v>2327</v>
      </c>
      <c r="AE146" s="419" t="str">
        <f>IF(1=1,"YY",IF($AF$139="HUIDIG BLAD",IF($AK$24="GOED",$AD$24,$AK$24),IF('Eindstand Groep'!$Y$45="FOUT","FOUT",LEFT('Eindstand Groep'!$Y$45,2))))</f>
        <v>YY</v>
      </c>
      <c r="AF146" s="419"/>
      <c r="AG146" s="419" t="s">
        <v>2343</v>
      </c>
      <c r="AH146" s="494" t="s">
        <v>2357</v>
      </c>
      <c r="AI146" s="419"/>
      <c r="AJ146" s="419" t="s">
        <v>2327</v>
      </c>
      <c r="AK146" s="419" t="str">
        <f>IF(1=1,"ZZ",IF($AL$36="GOED",$AF$36,$AL$36))</f>
        <v>ZZ</v>
      </c>
      <c r="AL146" s="748" t="s">
        <v>2324</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.CH.IT.DE.DK.GB.AT.ES.CZ.NL.UA.PT.HR.BE.RS.FR.TR.</v>
      </c>
      <c r="AS146" s="744"/>
      <c r="AT146" s="744"/>
      <c r="AU146" s="744"/>
      <c r="AV146" s="744"/>
      <c r="AW146" s="265"/>
      <c r="AX146" s="72"/>
      <c r="AY146" s="285" t="str">
        <f>Voorblad!Z71</f>
        <v>ES</v>
      </c>
      <c r="AZ146" s="285">
        <f t="shared" ca="1" si="40"/>
        <v>4</v>
      </c>
      <c r="BA146" s="285">
        <f t="shared" ca="1" si="41"/>
        <v>2</v>
      </c>
    </row>
    <row r="147" spans="26:53" ht="18.75" x14ac:dyDescent="0.25">
      <c r="AB147" s="847" t="s">
        <v>2237</v>
      </c>
      <c r="AC147" s="496" t="str">
        <f>IF($AF$139="HUIDIG BLAD","wed. 56t","nr.1 grp H")</f>
        <v>nr.1 grp H</v>
      </c>
      <c r="AD147" s="495" t="s">
        <v>2327</v>
      </c>
      <c r="AE147" s="495" t="str">
        <f>IF(1=1,"ZZ",IF($AF$139="HUIDIG BLAD",IF($AK$28="GOED",$AD$28,$AK$28),IF('Eindstand Groep'!$Z$45="FOUT","FOUT",LEFT('Eindstand Groep'!$Z$45,2))))</f>
        <v>ZZ</v>
      </c>
      <c r="AF147" s="495"/>
      <c r="AG147" s="495" t="s">
        <v>2343</v>
      </c>
      <c r="AH147" s="496" t="s">
        <v>2357</v>
      </c>
      <c r="AI147" s="495"/>
      <c r="AJ147" s="495" t="s">
        <v>2327</v>
      </c>
      <c r="AK147" s="495" t="str">
        <f>IF(1=1,"YY",IF($AL$40="GOED",$AF$40,$AL$40))</f>
        <v>YY</v>
      </c>
      <c r="AL147" s="754" t="s">
        <v>2324</v>
      </c>
      <c r="AM147" s="496" t="str">
        <f t="shared" si="39"/>
        <v>NEE</v>
      </c>
      <c r="AN147" s="495"/>
      <c r="AO147" s="495"/>
      <c r="AP147" s="502"/>
      <c r="AQ147" s="286">
        <v>0.25</v>
      </c>
      <c r="AR147" s="746" t="str">
        <f ca="1">"."&amp;IF(AP36=7,AD36&amp;"."&amp;AF36&amp;".","")&amp;IF(AP38=7,AD38&amp;"."&amp;AF38&amp;".","")&amp;IF(AP40=7,AD40&amp;"."&amp;AF40&amp;".","")&amp;IF(AP42=7,AD42&amp;"."&amp;AF42&amp;".","")</f>
        <v>.ES.DE.PT.NL.GB.IT.BE.FR.</v>
      </c>
      <c r="AS147" s="744"/>
      <c r="AT147" s="744"/>
      <c r="AU147" s="744"/>
      <c r="AV147" s="744"/>
      <c r="AW147" s="265"/>
      <c r="AX147" s="72"/>
      <c r="AY147" s="285" t="str">
        <f>Voorblad!Z72</f>
        <v>HR</v>
      </c>
      <c r="AZ147" s="285">
        <f t="shared" ca="1" si="40"/>
        <v>1</v>
      </c>
      <c r="BA147" s="285">
        <f t="shared" ca="1" si="41"/>
        <v>2</v>
      </c>
    </row>
    <row r="148" spans="26:53" ht="18.75" x14ac:dyDescent="0.25">
      <c r="AB148" s="491" t="s">
        <v>2358</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2359</v>
      </c>
      <c r="AP148" s="757" t="str">
        <f>IF(AND(Reglement!$Q$81=1,Reglement!$H$90=2),"JA","NEE")</f>
        <v>NEE</v>
      </c>
      <c r="AQ148" s="286">
        <v>0.5</v>
      </c>
      <c r="AR148" s="746" t="str">
        <f ca="1">"."&amp;IF(AP46=7,AD46&amp;"."&amp;AF46&amp;".","")&amp;IF(AP48=7,AD48&amp;"."&amp;AF48&amp;".","")</f>
        <v>.DE.PT.FR.GB.</v>
      </c>
      <c r="AS148" s="744"/>
      <c r="AT148" s="744"/>
      <c r="AU148" s="744"/>
      <c r="AV148" s="744"/>
      <c r="AW148" s="265"/>
      <c r="AX148" s="72"/>
      <c r="AY148" s="285" t="str">
        <f>Voorblad!Z73</f>
        <v>IT</v>
      </c>
      <c r="AZ148" s="285">
        <f t="shared" ca="1" si="40"/>
        <v>3</v>
      </c>
      <c r="BA148" s="285">
        <f t="shared" ca="1" si="41"/>
        <v>3</v>
      </c>
    </row>
    <row r="149" spans="26:53" x14ac:dyDescent="0.25">
      <c r="AB149" s="419"/>
      <c r="AC149" s="494" t="s">
        <v>2360</v>
      </c>
      <c r="AD149" s="419"/>
      <c r="AE149" s="419"/>
      <c r="AF149" s="419"/>
      <c r="AG149" s="758" t="s">
        <v>2327</v>
      </c>
      <c r="AH149" s="494">
        <f ca="1">AR143</f>
        <v>15</v>
      </c>
      <c r="AI149" s="494"/>
      <c r="AJ149" s="494"/>
      <c r="AK149" s="494"/>
      <c r="AL149" s="748" t="s">
        <v>2324</v>
      </c>
      <c r="AM149" s="494">
        <f ca="1">IF($AP$71="GOED",AH149,"onvoldoende gegevens")</f>
        <v>15</v>
      </c>
      <c r="AN149" s="419"/>
      <c r="AO149" s="498" t="s">
        <v>2361</v>
      </c>
      <c r="AP149" s="757">
        <v>6</v>
      </c>
      <c r="AQ149" s="286" t="s">
        <v>2362</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2363</v>
      </c>
      <c r="AD150" s="495"/>
      <c r="AE150" s="495"/>
      <c r="AF150" s="495"/>
      <c r="AG150" s="501" t="s">
        <v>2327</v>
      </c>
      <c r="AH150" s="496">
        <f ca="1">AR144</f>
        <v>0</v>
      </c>
      <c r="AI150" s="495"/>
      <c r="AJ150" s="495"/>
      <c r="AK150" s="495"/>
      <c r="AL150" s="754" t="s">
        <v>2324</v>
      </c>
      <c r="AM150" s="496">
        <f ca="1">IF($AP$71="GOED",AH150,"onvoldoende gegevens")</f>
        <v>0</v>
      </c>
      <c r="AN150" s="752" t="s">
        <v>2324</v>
      </c>
      <c r="AO150" s="497" t="str">
        <f ca="1">IF(AH150&gt;=AP149,"JA",IF(OR(AM149="onvoldoende gegevens",AM150="onvoldoende gegevens"),"onvoldoende gegevens",IF(AP148="XX","geen suggestie mogelijk","NEE")))</f>
        <v>NEE</v>
      </c>
      <c r="AP150" s="502"/>
      <c r="AQ150" s="286" t="s">
        <v>2281</v>
      </c>
      <c r="AR150" s="746" t="str">
        <f ca="1">"."&amp;IF(AP56=7,AD56&amp;"."&amp;AF56&amp;".","")</f>
        <v>.PT.FR.</v>
      </c>
      <c r="AS150" s="265"/>
      <c r="AT150" s="718"/>
      <c r="AU150" s="265"/>
      <c r="AV150" s="72"/>
      <c r="AW150" s="265"/>
      <c r="AX150" s="72"/>
      <c r="AY150" s="285" t="str">
        <f>Voorblad!Z75</f>
        <v>SI</v>
      </c>
      <c r="AZ150" s="285">
        <f t="shared" ca="1" si="40"/>
        <v>0</v>
      </c>
      <c r="BA150" s="285">
        <f t="shared" ca="1" si="41"/>
        <v>0</v>
      </c>
    </row>
    <row r="151" spans="26:53" x14ac:dyDescent="0.25">
      <c r="AB151" s="491" t="s">
        <v>2364</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2341</v>
      </c>
      <c r="AP151" s="757">
        <f ca="1">COUNTIF(AM153:AM154,"onvoldoende gegevens")</f>
        <v>0</v>
      </c>
      <c r="AQ151" s="500" t="s">
        <v>2365</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3</v>
      </c>
    </row>
    <row r="152" spans="26:53" x14ac:dyDescent="0.25">
      <c r="AB152" s="419"/>
      <c r="AC152" s="494" t="s">
        <v>2366</v>
      </c>
      <c r="AD152" s="419"/>
      <c r="AE152" s="419" t="s">
        <v>2327</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2330</v>
      </c>
      <c r="AP152" s="757">
        <f ca="1">COUNTIF(AM153:AM154,"JA")</f>
        <v>2</v>
      </c>
      <c r="AQ152" s="500" t="s">
        <v>2367</v>
      </c>
      <c r="AR152" s="746" t="str">
        <f ca="1">"."&amp;IF(AP59=3,AF59&amp;".","")</f>
        <v>.FR.</v>
      </c>
      <c r="AS152" s="265"/>
      <c r="AT152" s="718"/>
      <c r="AU152" s="265"/>
      <c r="AV152" s="72"/>
      <c r="AW152" s="265"/>
      <c r="AX152" s="72"/>
      <c r="AY152" s="285" t="str">
        <f>Voorblad!Z77</f>
        <v>RS</v>
      </c>
      <c r="AZ152" s="285">
        <f t="shared" ca="1" si="40"/>
        <v>0</v>
      </c>
      <c r="BA152" s="285">
        <f t="shared" ca="1" si="41"/>
        <v>1</v>
      </c>
    </row>
    <row r="153" spans="26:53" x14ac:dyDescent="0.25">
      <c r="AB153" s="419"/>
      <c r="AC153" s="494" t="s">
        <v>2368</v>
      </c>
      <c r="AD153" s="419"/>
      <c r="AE153" s="419" t="s">
        <v>2327</v>
      </c>
      <c r="AF153" s="419" t="str">
        <f ca="1">IF($AK$56="GOED",$AD$56,$AK$56)</f>
        <v>PT</v>
      </c>
      <c r="AG153" s="419"/>
      <c r="AH153" s="419"/>
      <c r="AI153" s="419"/>
      <c r="AJ153" s="419"/>
      <c r="AK153" s="419"/>
      <c r="AL153" s="748" t="s">
        <v>2324</v>
      </c>
      <c r="AM153" s="494" t="str">
        <f ca="1">IF(OR(AF153="LEEG",AF153="FOUT",AF153="ONGELDIG"),"onvoldoende gegevens",IF(SUBSTITUTE($AF$152,AF153,"##")=$AF$152,"NEE","JA"))</f>
        <v>JA</v>
      </c>
      <c r="AN153" s="419"/>
      <c r="AO153" s="498" t="s">
        <v>2332</v>
      </c>
      <c r="AP153" s="757">
        <v>2</v>
      </c>
      <c r="AQ153" s="265"/>
      <c r="AR153" s="718"/>
      <c r="AS153" s="265"/>
      <c r="AT153" s="72"/>
      <c r="AU153" s="265"/>
      <c r="AV153" s="718"/>
      <c r="AW153" s="265"/>
      <c r="AX153" s="72"/>
      <c r="AY153" s="285" t="str">
        <f>Voorblad!Z78</f>
        <v>GB</v>
      </c>
      <c r="AZ153" s="285">
        <f t="shared" ca="1" si="40"/>
        <v>8</v>
      </c>
      <c r="BA153" s="285">
        <f t="shared" ca="1" si="41"/>
        <v>4</v>
      </c>
    </row>
    <row r="154" spans="26:53" x14ac:dyDescent="0.25">
      <c r="AB154" s="419"/>
      <c r="AC154" s="494" t="s">
        <v>2369</v>
      </c>
      <c r="AD154" s="419"/>
      <c r="AE154" s="419" t="s">
        <v>2327</v>
      </c>
      <c r="AF154" s="419" t="str">
        <f ca="1">IF($AL$56="GOED",$AF$56,$AL$56)</f>
        <v>FR</v>
      </c>
      <c r="AG154" s="419"/>
      <c r="AH154" s="419"/>
      <c r="AI154" s="419"/>
      <c r="AJ154" s="419"/>
      <c r="AK154" s="419"/>
      <c r="AL154" s="748" t="s">
        <v>2324</v>
      </c>
      <c r="AM154" s="494" t="str">
        <f ca="1">IF(OR(AF154="LEEG",AF154="FOUT",AF154="ONGELDIG"),"onvoldoende gegevens",IF(SUBSTITUTE($AF$152,AF154,"##")=$AF$152,"NEE","JA"))</f>
        <v>JA</v>
      </c>
      <c r="AN154" s="419"/>
      <c r="AO154" s="498" t="s">
        <v>2334</v>
      </c>
      <c r="AP154" s="757">
        <f ca="1">COUNTIF(AM153:AM154,"NEE")</f>
        <v>0</v>
      </c>
      <c r="AQ154" s="747" t="s">
        <v>2370</v>
      </c>
      <c r="AR154" s="718"/>
      <c r="AS154" s="265"/>
      <c r="AT154" s="72"/>
      <c r="AU154" s="265"/>
      <c r="AV154" s="718"/>
      <c r="AW154" s="265"/>
      <c r="AX154" s="72"/>
      <c r="AY154" s="285" t="str">
        <f>Voorblad!Z79</f>
        <v>PL</v>
      </c>
      <c r="AZ154" s="285">
        <f t="shared" ca="1" si="40"/>
        <v>0</v>
      </c>
      <c r="BA154" s="285">
        <f t="shared" ca="1" si="41"/>
        <v>0</v>
      </c>
    </row>
    <row r="155" spans="26:53" x14ac:dyDescent="0.25">
      <c r="Z155" s="217"/>
      <c r="AB155" s="495"/>
      <c r="AC155" s="495"/>
      <c r="AD155" s="495"/>
      <c r="AE155" s="495"/>
      <c r="AF155" s="495"/>
      <c r="AG155" s="495"/>
      <c r="AH155" s="495"/>
      <c r="AI155" s="495"/>
      <c r="AJ155" s="495"/>
      <c r="AK155" s="495"/>
      <c r="AL155" s="495"/>
      <c r="AM155" s="495"/>
      <c r="AN155" s="752" t="s">
        <v>2324</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2</v>
      </c>
      <c r="BA155" s="285">
        <f t="shared" ca="1" si="41"/>
        <v>3</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2341</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1</v>
      </c>
      <c r="BA156" s="285">
        <f t="shared" ca="1" si="41"/>
        <v>4</v>
      </c>
    </row>
    <row r="157" spans="26:53" x14ac:dyDescent="0.25">
      <c r="AB157" s="419"/>
      <c r="AC157" s="494" t="s">
        <v>2371</v>
      </c>
      <c r="AD157" s="419"/>
      <c r="AE157" s="419" t="s">
        <v>2327</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2330</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10</v>
      </c>
      <c r="BA157" s="285">
        <f t="shared" ca="1" si="41"/>
        <v>3</v>
      </c>
    </row>
    <row r="158" spans="26:53" x14ac:dyDescent="0.25">
      <c r="AB158" s="419"/>
      <c r="AC158" s="494" t="s">
        <v>2372</v>
      </c>
      <c r="AD158" s="419"/>
      <c r="AE158" s="419" t="s">
        <v>2327</v>
      </c>
      <c r="AF158" s="419" t="str">
        <f ca="1">IF($AL$59="GOED",$AF$59,$AL$59)</f>
        <v>FR</v>
      </c>
      <c r="AG158" s="419"/>
      <c r="AH158" s="419"/>
      <c r="AI158" s="419"/>
      <c r="AJ158" s="419"/>
      <c r="AK158" s="419"/>
      <c r="AL158" s="748" t="s">
        <v>2324</v>
      </c>
      <c r="AM158" s="494" t="str">
        <f ca="1">IF(OR(AF158="LEEG",AF158="FOUT",AF158="ONGELDIG"),"onvoldoende gegevens",IF(SUBSTITUTE($AF$157,AF158,"##")=$AF$157,"NEE","JA"))</f>
        <v>NEE</v>
      </c>
      <c r="AN158" s="419"/>
      <c r="AO158" s="498" t="s">
        <v>2332</v>
      </c>
      <c r="AP158" s="757">
        <v>1</v>
      </c>
      <c r="AQ158" s="500">
        <f t="shared" si="42"/>
        <v>4</v>
      </c>
      <c r="AR158" s="746" t="str">
        <f ca="1">AO150</f>
        <v>NEE</v>
      </c>
      <c r="AS158" s="265"/>
      <c r="AT158" s="72"/>
      <c r="AU158" s="265"/>
      <c r="AV158" s="718"/>
      <c r="AW158" s="746"/>
      <c r="AX158" s="72"/>
      <c r="AY158" s="285" t="str">
        <f>Voorblad!Z83</f>
        <v>BE</v>
      </c>
      <c r="AZ158" s="285">
        <f t="shared" ca="1" si="40"/>
        <v>1</v>
      </c>
      <c r="BA158" s="285">
        <f t="shared" ca="1" si="41"/>
        <v>2</v>
      </c>
    </row>
    <row r="159" spans="26:53" x14ac:dyDescent="0.25">
      <c r="AB159" s="419"/>
      <c r="AC159" s="494"/>
      <c r="AD159" s="419"/>
      <c r="AE159" s="419"/>
      <c r="AF159" s="419"/>
      <c r="AG159" s="419"/>
      <c r="AH159" s="419"/>
      <c r="AI159" s="419"/>
      <c r="AJ159" s="419"/>
      <c r="AK159" s="419"/>
      <c r="AL159" s="748"/>
      <c r="AM159" s="494"/>
      <c r="AN159" s="419"/>
      <c r="AO159" s="498" t="s">
        <v>2334</v>
      </c>
      <c r="AP159" s="757">
        <f ca="1">COUNTIF(AM158:AM158,"NEE")</f>
        <v>1</v>
      </c>
      <c r="AQ159" s="500">
        <f t="shared" si="42"/>
        <v>5</v>
      </c>
      <c r="AR159" s="746" t="str">
        <f ca="1">AO155</f>
        <v>JA</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2324</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2373</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1</v>
      </c>
      <c r="BA161" s="285">
        <f t="shared" ca="1" si="41"/>
        <v>2</v>
      </c>
    </row>
    <row r="162" spans="28:53" x14ac:dyDescent="0.25">
      <c r="AB162" s="769"/>
      <c r="AC162" s="764" t="s">
        <v>2372</v>
      </c>
      <c r="AD162" s="763"/>
      <c r="AE162" s="763" t="s">
        <v>2327</v>
      </c>
      <c r="AF162" s="763" t="str">
        <f ca="1">IF($AL$59="GOED",$AF$59,$AL$59)</f>
        <v>FR</v>
      </c>
      <c r="AG162" s="763"/>
      <c r="AH162" s="763"/>
      <c r="AI162" s="763" t="s">
        <v>2327</v>
      </c>
      <c r="AJ162" s="764" t="str">
        <f ca="1">IF(AO59="FOUT","onvoldoende gegevens","GOED")</f>
        <v>GOED</v>
      </c>
      <c r="AK162" s="763"/>
      <c r="AL162" s="763"/>
      <c r="AM162" s="763"/>
      <c r="AN162" s="763"/>
      <c r="AO162" s="761" t="s">
        <v>2359</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1</v>
      </c>
      <c r="BA162" s="285">
        <f t="shared" ca="1" si="41"/>
        <v>3</v>
      </c>
    </row>
    <row r="163" spans="28:53" x14ac:dyDescent="0.25">
      <c r="AB163" s="763" t="s">
        <v>2374</v>
      </c>
      <c r="AC163" s="764" t="s">
        <v>2375</v>
      </c>
      <c r="AD163" s="763"/>
      <c r="AE163" s="763" t="s">
        <v>2327</v>
      </c>
      <c r="AF163" s="763">
        <f ca="1">IF(AND($AL$59="GOED",OR($AF$162=AD14,$AF$162=AF14,$AF$162=AD16,$AF$162=AF16,$AF$162=AD18,$AF$162=AF18,$AF$162=AD20,$AF$162=AF20,$AF$162=AD22,$AF$162=AF22,$AF$162=AD24,$AF$162=AF24,$AF$162=AD26,$AF$162=AF26,$AF$162=AD28,$AF$162=AF28)),1,0)</f>
        <v>1</v>
      </c>
      <c r="AG163" s="763" t="s">
        <v>2343</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2327</v>
      </c>
      <c r="AJ163" s="764" t="str">
        <f ca="1">IF(COUNTIF(AO14:AO28,"FOUT"&gt;0),"onvoldoende gegevens",IF(AF163=0,"geen suggestie mogelijk","GOED"))</f>
        <v>GOED</v>
      </c>
      <c r="AK163" s="763"/>
      <c r="AL163" s="763"/>
      <c r="AM163" s="763"/>
      <c r="AN163" s="763"/>
      <c r="AO163" s="761" t="s">
        <v>2341</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2376</v>
      </c>
      <c r="AC164" s="764" t="s">
        <v>2375</v>
      </c>
      <c r="AD164" s="763"/>
      <c r="AE164" s="763" t="s">
        <v>2327</v>
      </c>
      <c r="AF164" s="763">
        <f ca="1">IF(AND($AL$59="GOED",OR($AF$162=AD36,$AF$162=AF36,$AF$162=AD38,$AF$162=AF38,$AF$162=AD40,$AF$162=AF40,$AF$162=AD42,$AF$162=AF42)),1,0)</f>
        <v>1</v>
      </c>
      <c r="AG164" s="763" t="s">
        <v>2343</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2327</v>
      </c>
      <c r="AJ164" s="764" t="str">
        <f ca="1">IF(COUNTIF(AO36:AO42,"FOUT")&gt;0,"onvoldoende gegevens",IF(AF164=0,"geen suggestie mogelijk","GOED"))</f>
        <v>GOED</v>
      </c>
      <c r="AK164" s="763"/>
      <c r="AL164" s="763"/>
      <c r="AM164" s="763"/>
      <c r="AN164" s="763"/>
      <c r="AO164" s="761" t="s">
        <v>2377</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6</v>
      </c>
      <c r="BA164" s="285">
        <f t="shared" ca="1" si="41"/>
        <v>4</v>
      </c>
    </row>
    <row r="165" spans="28:53" x14ac:dyDescent="0.25">
      <c r="AB165" s="763" t="s">
        <v>2378</v>
      </c>
      <c r="AC165" s="764" t="s">
        <v>2375</v>
      </c>
      <c r="AD165" s="763"/>
      <c r="AE165" s="763" t="s">
        <v>2327</v>
      </c>
      <c r="AF165" s="763">
        <f ca="1">IF(AND($AL$59="GOED",OR($AF$162=AD46,$AF$162=AF46,$AF$162=AD48,$AF$162=AF48)),1,0)</f>
        <v>1</v>
      </c>
      <c r="AG165" s="763" t="s">
        <v>2343</v>
      </c>
      <c r="AH165" s="772">
        <f ca="1">IF($AL$59="GOED",IF(AO46="FOUT",0,IF($AF$59=AD46,IF(W46&gt;Y46,1,0),0)+IF($AF$59=AF46,IF(W46&lt;Y46,1,0),0))+IF(AO48="FOUT",0,IF($AF$59=AD48,IF(W48&gt;Y48,1,0),0)+IF($AF$59=AF48,IF(W48&lt;Y48,1,0),0)),"")</f>
        <v>1</v>
      </c>
      <c r="AI165" s="763" t="s">
        <v>2327</v>
      </c>
      <c r="AJ165" s="764" t="str">
        <f ca="1">IF(COUNTIF(AO46:AO48,"FOUT")&gt;0,"onvoldoende gegevens",IF(AF165=0,"geen suggestie mogelijk","GOED"))</f>
        <v>GOED</v>
      </c>
      <c r="AK165" s="763"/>
      <c r="AL165" s="763"/>
      <c r="AM165" s="763"/>
      <c r="AN165" s="763"/>
      <c r="AO165" s="761" t="s">
        <v>2379</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3</v>
      </c>
    </row>
    <row r="166" spans="28:53" x14ac:dyDescent="0.25">
      <c r="AB166" s="763" t="s">
        <v>2380</v>
      </c>
      <c r="AC166" s="764" t="s">
        <v>2375</v>
      </c>
      <c r="AD166" s="763"/>
      <c r="AE166" s="763" t="s">
        <v>2327</v>
      </c>
      <c r="AF166" s="763">
        <f ca="1">IF(AND($AL$59="GOED",OR($AF$162=AD56,$AF$162=AF56)),1,0)</f>
        <v>1</v>
      </c>
      <c r="AG166" s="763" t="s">
        <v>2343</v>
      </c>
      <c r="AH166" s="772">
        <f ca="1">IF($AL$59="GOED",IF(AO56="FOUT",0,IF($AF$59=AD56,IF(W56&gt;Y56,1,0),0)+IF($AF$59=AF56,IF(W56&lt;Y56,1,0),0)),"")</f>
        <v>1</v>
      </c>
      <c r="AI166" s="763" t="s">
        <v>2327</v>
      </c>
      <c r="AJ166" s="764" t="str">
        <f ca="1">IF(AO56="FOUT","onvoldoende gegevens",IF(AF166=0,"geen suggestie mogelijk","GOED"))</f>
        <v>GOED</v>
      </c>
      <c r="AK166" s="763"/>
      <c r="AL166" s="763"/>
      <c r="AM166" s="763"/>
      <c r="AN166" s="763"/>
      <c r="AO166" s="761" t="s">
        <v>2381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2382</v>
      </c>
      <c r="AN167" s="766" t="s">
        <v>2324</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2383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2384</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2385</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2324</v>
      </c>
      <c r="AO171" s="497" t="s">
        <v>2386</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2387</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2388</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2389</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2390</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2324</v>
      </c>
      <c r="AO178" s="497" t="s">
        <v>1451</v>
      </c>
      <c r="AP178" s="502"/>
      <c r="AQ178" s="72"/>
      <c r="AR178" s="72"/>
      <c r="AS178" s="72"/>
      <c r="AT178" s="72"/>
      <c r="AU178" s="72"/>
      <c r="AV178" s="72"/>
      <c r="AW178" s="72"/>
      <c r="AX178" s="72"/>
      <c r="AY178" s="72"/>
      <c r="AZ178" s="72"/>
      <c r="BA178" s="72"/>
    </row>
    <row r="179" spans="28:53" x14ac:dyDescent="0.25">
      <c r="AB179" s="491" t="s">
        <v>2391</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2341</v>
      </c>
      <c r="AP179" s="757">
        <f ca="1">COUNTIF(AM181:AM182,"onvoldoende gegevens")</f>
        <v>0</v>
      </c>
      <c r="AR179" s="47"/>
      <c r="AT179" s="47"/>
      <c r="AV179" s="47"/>
      <c r="AX179" s="47"/>
      <c r="AZ179" s="47"/>
    </row>
    <row r="180" spans="28:53" x14ac:dyDescent="0.25">
      <c r="AB180" s="419"/>
      <c r="AC180" s="494" t="s">
        <v>2392</v>
      </c>
      <c r="AD180" s="419"/>
      <c r="AE180" s="419" t="s">
        <v>2327</v>
      </c>
      <c r="AF180" s="494" t="str">
        <f>SUBSTITUTE("|"&amp;AE122&amp;"|"&amp;AE124&amp;"|","LEEG","XX")</f>
        <v>|GB|IT|</v>
      </c>
      <c r="AG180" s="419"/>
      <c r="AH180" s="419"/>
      <c r="AI180" s="419"/>
      <c r="AJ180" s="419"/>
      <c r="AK180" s="419"/>
      <c r="AL180" s="419"/>
      <c r="AM180" s="419"/>
      <c r="AN180" s="419"/>
      <c r="AO180" s="498" t="s">
        <v>2330</v>
      </c>
      <c r="AP180" s="757">
        <f ca="1">COUNTIF(AM181:AM182,"JA")</f>
        <v>2</v>
      </c>
      <c r="AR180" s="47"/>
      <c r="AT180" s="47"/>
      <c r="AV180" s="47"/>
      <c r="AX180" s="47"/>
      <c r="AZ180" s="47"/>
    </row>
    <row r="181" spans="28:53" x14ac:dyDescent="0.25">
      <c r="AB181" s="419"/>
      <c r="AC181" s="494" t="s">
        <v>2368</v>
      </c>
      <c r="AD181" s="419"/>
      <c r="AE181" s="419" t="s">
        <v>2327</v>
      </c>
      <c r="AF181" s="419" t="str">
        <f ca="1">IF($AK$56="GOED",$AD$56,$AK$56)</f>
        <v>PT</v>
      </c>
      <c r="AG181" s="419"/>
      <c r="AH181" s="419"/>
      <c r="AI181" s="419"/>
      <c r="AJ181" s="419"/>
      <c r="AK181" s="419"/>
      <c r="AL181" s="748" t="s">
        <v>2324</v>
      </c>
      <c r="AM181" s="494" t="str">
        <f ca="1">IF(OR(AF181="LEEG",AF181="FOUT",AF181="ONGELDIG"),"onvoldoende gegevens",IF(SUBSTITUTE($AF$152,AF181,"##")=$AF$152,"NEE","JA"))</f>
        <v>JA</v>
      </c>
      <c r="AN181" s="419"/>
      <c r="AO181" s="498" t="s">
        <v>2332</v>
      </c>
      <c r="AP181" s="757">
        <v>1</v>
      </c>
      <c r="AR181" s="47"/>
      <c r="AT181" s="47"/>
      <c r="AV181" s="47"/>
      <c r="AX181" s="47"/>
      <c r="AZ181" s="47"/>
    </row>
    <row r="182" spans="28:53" x14ac:dyDescent="0.25">
      <c r="AB182" s="419"/>
      <c r="AC182" s="494" t="s">
        <v>2369</v>
      </c>
      <c r="AD182" s="419"/>
      <c r="AE182" s="419" t="s">
        <v>2327</v>
      </c>
      <c r="AF182" s="419" t="str">
        <f ca="1">IF($AL$56="GOED",$AF$56,$AL$56)</f>
        <v>FR</v>
      </c>
      <c r="AG182" s="419"/>
      <c r="AH182" s="419"/>
      <c r="AI182" s="419"/>
      <c r="AJ182" s="419"/>
      <c r="AK182" s="419"/>
      <c r="AL182" s="748" t="s">
        <v>2324</v>
      </c>
      <c r="AM182" s="494" t="str">
        <f ca="1">IF(OR(AF182="LEEG",AF182="FOUT",AF182="ONGELDIG"),"onvoldoende gegevens",IF(SUBSTITUTE($AF$152,AF182,"##")=$AF$152,"NEE","JA"))</f>
        <v>JA</v>
      </c>
      <c r="AN182" s="419"/>
      <c r="AO182" s="498" t="s">
        <v>2334</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2324</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1" t="str">
        <f ca="1">IF(T3=1,"",UPPER(Taal04!B271))</f>
        <v>DIT WERKBLAD IS NIET VAN TOEPASSING. DE ORGANISATOR HEEFT GEKOZEN OM DE TEAMS FUNCTIE NIET TE GEBRUIKEN.</v>
      </c>
      <c r="D2" s="1251"/>
      <c r="E2" s="1251"/>
      <c r="F2" s="1251"/>
      <c r="G2" s="1251"/>
      <c r="H2" s="1251"/>
      <c r="I2" s="1251"/>
      <c r="J2" s="1251"/>
      <c r="K2" s="1251"/>
      <c r="L2" s="1251"/>
      <c r="M2" s="1251"/>
      <c r="N2" s="1251"/>
      <c r="O2" s="1251"/>
      <c r="P2" s="1251"/>
      <c r="Q2" s="17"/>
      <c r="R2" s="927"/>
      <c r="S2" s="296" t="s">
        <v>2393</v>
      </c>
      <c r="T2" s="931" t="s">
        <v>2394</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2395</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2396</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2397</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2398</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7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77"/>
      <c r="F7" s="1077"/>
      <c r="G7" s="1077"/>
      <c r="H7" s="1077"/>
      <c r="I7" s="1077"/>
      <c r="J7" s="1077"/>
      <c r="K7" s="1077"/>
      <c r="L7" s="1077"/>
      <c r="M7" s="1077"/>
      <c r="N7" s="1077"/>
      <c r="O7" s="1077"/>
      <c r="P7" s="60"/>
      <c r="Q7" s="17"/>
      <c r="R7" s="928">
        <v>1</v>
      </c>
      <c r="S7" s="296" t="s">
        <v>2399</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77"/>
      <c r="E8" s="1077"/>
      <c r="F8" s="1077"/>
      <c r="G8" s="1077"/>
      <c r="H8" s="1077"/>
      <c r="I8" s="1077"/>
      <c r="J8" s="1077"/>
      <c r="K8" s="1077"/>
      <c r="L8" s="1077"/>
      <c r="M8" s="1077"/>
      <c r="N8" s="1077"/>
      <c r="O8" s="1077"/>
      <c r="P8" s="60"/>
      <c r="Q8" s="17"/>
      <c r="R8" s="928">
        <v>1</v>
      </c>
      <c r="S8" s="296" t="s">
        <v>2400</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77"/>
      <c r="E9" s="1077"/>
      <c r="F9" s="1077"/>
      <c r="G9" s="1077"/>
      <c r="H9" s="1077"/>
      <c r="I9" s="1077"/>
      <c r="J9" s="1077"/>
      <c r="K9" s="1077"/>
      <c r="L9" s="1077"/>
      <c r="M9" s="1077"/>
      <c r="N9" s="1077"/>
      <c r="O9" s="107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2401</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4" t="str">
        <f ca="1">SUBSTITUTE(SUBSTITUTE(SUBSTITUTE(T10,S7,T7),S8,T8),S9,T9)</f>
        <v/>
      </c>
      <c r="E11" s="1254"/>
      <c r="F11" s="1254"/>
      <c r="G11" s="1254"/>
      <c r="H11" s="1254"/>
      <c r="I11" s="1254"/>
      <c r="J11" s="1254"/>
      <c r="K11" s="1254"/>
      <c r="L11" s="1254"/>
      <c r="M11" s="1254"/>
      <c r="N11" s="1254"/>
      <c r="O11" s="1254"/>
      <c r="P11" s="60"/>
      <c r="Q11" s="17"/>
      <c r="R11" s="928">
        <v>1</v>
      </c>
      <c r="S11" s="589" t="s">
        <v>2402</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4"/>
      <c r="E12" s="1254"/>
      <c r="F12" s="1254"/>
      <c r="G12" s="1254"/>
      <c r="H12" s="1254"/>
      <c r="I12" s="1254"/>
      <c r="J12" s="1254"/>
      <c r="K12" s="1254"/>
      <c r="L12" s="1254"/>
      <c r="M12" s="1254"/>
      <c r="N12" s="1254"/>
      <c r="O12" s="1254"/>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6" t="str">
        <f>IF(AND(T3=1,T5&lt;&gt;0,T6&lt;&gt;0),IF(Q212=1,Taal04!B268,IF(Q212=3,Taal04!B269,Taal04!B267)),"")</f>
        <v/>
      </c>
      <c r="E13" s="1256"/>
      <c r="F13" s="1256"/>
      <c r="G13" s="1256"/>
      <c r="H13" s="1256"/>
      <c r="I13" s="1256"/>
      <c r="J13" s="1256"/>
      <c r="K13" s="1256"/>
      <c r="L13" s="1256"/>
      <c r="M13" s="1256"/>
      <c r="N13" s="1256"/>
      <c r="O13" s="1256"/>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2052</v>
      </c>
      <c r="O15" s="218" t="s">
        <v>2228</v>
      </c>
      <c r="P15" s="60"/>
      <c r="Q15" s="17"/>
      <c r="R15" s="927">
        <f>IF(T16=1,1,0)</f>
        <v>0</v>
      </c>
      <c r="S15" s="865" t="s">
        <v>2403</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5" t="str" cm="1">
        <f t="array" aca="1" ref="D16" ca="1">IF(AND(T16=1,T18=1),INDIRECT("G"&amp;T17),"")</f>
        <v/>
      </c>
      <c r="E16" s="1255"/>
      <c r="F16" s="1255"/>
      <c r="G16" s="1255"/>
      <c r="H16" s="1255"/>
      <c r="I16" s="1255"/>
      <c r="J16" s="1255"/>
      <c r="K16" s="1255"/>
      <c r="L16" s="1255"/>
      <c r="M16" s="1255"/>
      <c r="N16" s="1255"/>
      <c r="O16" s="1255"/>
      <c r="P16" s="60"/>
      <c r="Q16" s="17"/>
      <c r="R16" s="927">
        <f ca="1">IF(T18=1,1,0)</f>
        <v>0</v>
      </c>
      <c r="S16" s="864" t="s">
        <v>2404</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5"/>
      <c r="E17" s="1255"/>
      <c r="F17" s="1255"/>
      <c r="G17" s="1255"/>
      <c r="H17" s="1255"/>
      <c r="I17" s="1255"/>
      <c r="J17" s="1255"/>
      <c r="K17" s="1255"/>
      <c r="L17" s="1255"/>
      <c r="M17" s="1255"/>
      <c r="N17" s="1255"/>
      <c r="O17" s="1255"/>
      <c r="P17" s="60"/>
      <c r="Q17" s="17"/>
      <c r="R17" s="927">
        <f ca="1">IF(T18=1,1,0)</f>
        <v>0</v>
      </c>
      <c r="S17" s="864" t="s">
        <v>2405</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5"/>
      <c r="E18" s="1255"/>
      <c r="F18" s="1255"/>
      <c r="G18" s="1255"/>
      <c r="H18" s="1255"/>
      <c r="I18" s="1255"/>
      <c r="J18" s="1255"/>
      <c r="K18" s="1255"/>
      <c r="L18" s="1255"/>
      <c r="M18" s="1255"/>
      <c r="N18" s="1255"/>
      <c r="O18" s="1255"/>
      <c r="P18" s="60"/>
      <c r="Q18" s="17"/>
      <c r="R18" s="927">
        <f ca="1">IF(T18=1,1,0)</f>
        <v>0</v>
      </c>
      <c r="S18" s="864" t="s">
        <v>2406</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2407</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2052</v>
      </c>
      <c r="O20" s="218" t="s">
        <v>2228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5" t="str" cm="1">
        <f t="array" aca="1" ref="D21" ca="1">IF(AND(T21=1,T23=1),INDIRECT("G"&amp;T22),"")</f>
        <v/>
      </c>
      <c r="E21" s="1255"/>
      <c r="F21" s="1255"/>
      <c r="G21" s="1255"/>
      <c r="H21" s="1255"/>
      <c r="I21" s="1255"/>
      <c r="J21" s="1255"/>
      <c r="K21" s="1255"/>
      <c r="L21" s="1255"/>
      <c r="M21" s="1255"/>
      <c r="N21" s="1255"/>
      <c r="O21" s="1255"/>
      <c r="P21" s="60"/>
      <c r="Q21" s="17"/>
      <c r="R21" s="927">
        <f ca="1">IF(T23=1,1,0)</f>
        <v>0</v>
      </c>
      <c r="S21" s="867" t="s">
        <v>2404</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5"/>
      <c r="E22" s="1255"/>
      <c r="F22" s="1255"/>
      <c r="G22" s="1255"/>
      <c r="H22" s="1255"/>
      <c r="I22" s="1255"/>
      <c r="J22" s="1255"/>
      <c r="K22" s="1255"/>
      <c r="L22" s="1255"/>
      <c r="M22" s="1255"/>
      <c r="N22" s="1255"/>
      <c r="O22" s="1255"/>
      <c r="P22" s="60"/>
      <c r="Q22" s="17"/>
      <c r="R22" s="927">
        <f ca="1">IF(T23=1,1,0)</f>
        <v>0</v>
      </c>
      <c r="S22" s="867" t="s">
        <v>2405</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5"/>
      <c r="E23" s="1255"/>
      <c r="F23" s="1255"/>
      <c r="G23" s="1255"/>
      <c r="H23" s="1255"/>
      <c r="I23" s="1255"/>
      <c r="J23" s="1255"/>
      <c r="K23" s="1255"/>
      <c r="L23" s="1255"/>
      <c r="M23" s="1255"/>
      <c r="N23" s="1255"/>
      <c r="O23" s="1255"/>
      <c r="P23" s="60"/>
      <c r="Q23" s="17"/>
      <c r="R23" s="927">
        <f ca="1">IF(T23=1,1,0)</f>
        <v>0</v>
      </c>
      <c r="S23" s="867" t="s">
        <v>2406</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2407</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2052</v>
      </c>
      <c r="O25" s="218" t="s">
        <v>2228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5" t="str" cm="1">
        <f t="array" aca="1" ref="D26" ca="1">IF(AND(T26=1,T28=1),INDIRECT("G"&amp;T27),"")</f>
        <v/>
      </c>
      <c r="E26" s="1255"/>
      <c r="F26" s="1255"/>
      <c r="G26" s="1255"/>
      <c r="H26" s="1255"/>
      <c r="I26" s="1255"/>
      <c r="J26" s="1255"/>
      <c r="K26" s="1255"/>
      <c r="L26" s="1255"/>
      <c r="M26" s="1255"/>
      <c r="N26" s="1255"/>
      <c r="O26" s="1255"/>
      <c r="P26" s="60"/>
      <c r="Q26" s="17"/>
      <c r="R26" s="927">
        <f ca="1">IF(T28=1,1,0)</f>
        <v>0</v>
      </c>
      <c r="S26" s="871" t="s">
        <v>2404</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5"/>
      <c r="E27" s="1255"/>
      <c r="F27" s="1255"/>
      <c r="G27" s="1255"/>
      <c r="H27" s="1255"/>
      <c r="I27" s="1255"/>
      <c r="J27" s="1255"/>
      <c r="K27" s="1255"/>
      <c r="L27" s="1255"/>
      <c r="M27" s="1255"/>
      <c r="N27" s="1255"/>
      <c r="O27" s="1255"/>
      <c r="P27" s="60"/>
      <c r="Q27" s="17"/>
      <c r="R27" s="927">
        <f ca="1">IF(T28=1,1,0)</f>
        <v>0</v>
      </c>
      <c r="S27" s="871" t="s">
        <v>2405</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5"/>
      <c r="E28" s="1255"/>
      <c r="F28" s="1255"/>
      <c r="G28" s="1255"/>
      <c r="H28" s="1255"/>
      <c r="I28" s="1255"/>
      <c r="J28" s="1255"/>
      <c r="K28" s="1255"/>
      <c r="L28" s="1255"/>
      <c r="M28" s="1255"/>
      <c r="N28" s="1255"/>
      <c r="O28" s="1255"/>
      <c r="P28" s="60"/>
      <c r="Q28" s="17"/>
      <c r="R28" s="927">
        <f ca="1">IF(T28=1,1,0)</f>
        <v>0</v>
      </c>
      <c r="S28" s="871" t="s">
        <v>2406</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2407</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2052</v>
      </c>
      <c r="O30" s="218" t="s">
        <v>2228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5" t="str" cm="1">
        <f t="array" aca="1" ref="D31" ca="1">IF(AND(T31=1,T33=1),INDIRECT("G"&amp;T32),"")</f>
        <v/>
      </c>
      <c r="E31" s="1255"/>
      <c r="F31" s="1255"/>
      <c r="G31" s="1255"/>
      <c r="H31" s="1255"/>
      <c r="I31" s="1255"/>
      <c r="J31" s="1255"/>
      <c r="K31" s="1255"/>
      <c r="L31" s="1255"/>
      <c r="M31" s="1255"/>
      <c r="N31" s="1255"/>
      <c r="O31" s="1255"/>
      <c r="P31" s="60"/>
      <c r="Q31" s="17"/>
      <c r="R31" s="927">
        <f ca="1">IF(T33=1,1,0)</f>
        <v>0</v>
      </c>
      <c r="S31" s="874" t="s">
        <v>2404</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5"/>
      <c r="E32" s="1255"/>
      <c r="F32" s="1255"/>
      <c r="G32" s="1255"/>
      <c r="H32" s="1255"/>
      <c r="I32" s="1255"/>
      <c r="J32" s="1255"/>
      <c r="K32" s="1255"/>
      <c r="L32" s="1255"/>
      <c r="M32" s="1255"/>
      <c r="N32" s="1255"/>
      <c r="O32" s="1255"/>
      <c r="P32" s="60"/>
      <c r="Q32" s="17"/>
      <c r="R32" s="927">
        <f ca="1">IF(T33=1,1,0)</f>
        <v>0</v>
      </c>
      <c r="S32" s="874" t="s">
        <v>2405</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5"/>
      <c r="E33" s="1255"/>
      <c r="F33" s="1255"/>
      <c r="G33" s="1255"/>
      <c r="H33" s="1255"/>
      <c r="I33" s="1255"/>
      <c r="J33" s="1255"/>
      <c r="K33" s="1255"/>
      <c r="L33" s="1255"/>
      <c r="M33" s="1255"/>
      <c r="N33" s="1255"/>
      <c r="O33" s="1255"/>
      <c r="P33" s="60"/>
      <c r="Q33" s="17"/>
      <c r="R33" s="927">
        <f ca="1">IF(T33=1,1,0)</f>
        <v>0</v>
      </c>
      <c r="S33" s="874" t="s">
        <v>2406</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2407</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2052</v>
      </c>
      <c r="O35" s="218" t="s">
        <v>2228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5" t="str" cm="1">
        <f t="array" aca="1" ref="D36" ca="1">IF(AND(T36=1,T38=1),INDIRECT("G"&amp;T37),"")</f>
        <v/>
      </c>
      <c r="E36" s="1255"/>
      <c r="F36" s="1255"/>
      <c r="G36" s="1255"/>
      <c r="H36" s="1255"/>
      <c r="I36" s="1255"/>
      <c r="J36" s="1255"/>
      <c r="K36" s="1255"/>
      <c r="L36" s="1255"/>
      <c r="M36" s="1255"/>
      <c r="N36" s="1255"/>
      <c r="O36" s="1255"/>
      <c r="P36" s="60"/>
      <c r="Q36" s="17"/>
      <c r="R36" s="927">
        <f ca="1">IF(T38=1,1,0)</f>
        <v>0</v>
      </c>
      <c r="S36" s="876" t="s">
        <v>2404</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5"/>
      <c r="E37" s="1255"/>
      <c r="F37" s="1255"/>
      <c r="G37" s="1255"/>
      <c r="H37" s="1255"/>
      <c r="I37" s="1255"/>
      <c r="J37" s="1255"/>
      <c r="K37" s="1255"/>
      <c r="L37" s="1255"/>
      <c r="M37" s="1255"/>
      <c r="N37" s="1255"/>
      <c r="O37" s="1255"/>
      <c r="P37" s="60"/>
      <c r="Q37" s="17"/>
      <c r="R37" s="927">
        <f ca="1">IF(T38=1,1,0)</f>
        <v>0</v>
      </c>
      <c r="S37" s="876" t="s">
        <v>2405</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5"/>
      <c r="E38" s="1255"/>
      <c r="F38" s="1255"/>
      <c r="G38" s="1255"/>
      <c r="H38" s="1255"/>
      <c r="I38" s="1255"/>
      <c r="J38" s="1255"/>
      <c r="K38" s="1255"/>
      <c r="L38" s="1255"/>
      <c r="M38" s="1255"/>
      <c r="N38" s="1255"/>
      <c r="O38" s="1255"/>
      <c r="P38" s="60"/>
      <c r="Q38" s="17"/>
      <c r="R38" s="927">
        <f ca="1">IF(T38=1,1,0)</f>
        <v>0</v>
      </c>
      <c r="S38" s="876" t="s">
        <v>2406</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2407</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2052</v>
      </c>
      <c r="O40" s="218" t="s">
        <v>2228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5" t="str" cm="1">
        <f t="array" aca="1" ref="D41" ca="1">IF(AND(T41=1,T43=1),INDIRECT("G"&amp;T42),"")</f>
        <v/>
      </c>
      <c r="E41" s="1255"/>
      <c r="F41" s="1255"/>
      <c r="G41" s="1255"/>
      <c r="H41" s="1255"/>
      <c r="I41" s="1255"/>
      <c r="J41" s="1255"/>
      <c r="K41" s="1255"/>
      <c r="L41" s="1255"/>
      <c r="M41" s="1255"/>
      <c r="N41" s="1255"/>
      <c r="O41" s="1255"/>
      <c r="P41" s="60"/>
      <c r="Q41" s="17"/>
      <c r="R41" s="927">
        <f ca="1">IF(T43=1,1,0)</f>
        <v>0</v>
      </c>
      <c r="S41" s="881" t="s">
        <v>2404</v>
      </c>
      <c r="T41" s="880">
        <f>IF(AND($T$3=1,RIGHT(S40,2)*1&lt;=$T$4),1,0)</f>
        <v>0</v>
      </c>
      <c r="U41" s="300"/>
      <c r="V41" s="922"/>
      <c r="W41" s="300"/>
      <c r="X41" s="300"/>
      <c r="Y41" s="300"/>
      <c r="Z41" s="300"/>
    </row>
    <row r="42" spans="2:43" ht="15" hidden="1" customHeight="1" x14ac:dyDescent="0.25">
      <c r="B42" s="17"/>
      <c r="C42" s="949"/>
      <c r="D42" s="1255"/>
      <c r="E42" s="1255"/>
      <c r="F42" s="1255"/>
      <c r="G42" s="1255"/>
      <c r="H42" s="1255"/>
      <c r="I42" s="1255"/>
      <c r="J42" s="1255"/>
      <c r="K42" s="1255"/>
      <c r="L42" s="1255"/>
      <c r="M42" s="1255"/>
      <c r="N42" s="1255"/>
      <c r="O42" s="1255"/>
      <c r="P42" s="60"/>
      <c r="Q42" s="17"/>
      <c r="R42" s="927">
        <f ca="1">IF(T43=1,1,0)</f>
        <v>0</v>
      </c>
      <c r="S42" s="881" t="s">
        <v>2405</v>
      </c>
      <c r="T42" s="880" t="str">
        <f>IF(T41=1,RIGHT(LEFT($T$11,RIGHT(S40,2)*3),3)*1,"-")</f>
        <v>-</v>
      </c>
      <c r="U42" s="300"/>
      <c r="V42" s="300"/>
      <c r="W42" s="300"/>
      <c r="X42" s="300"/>
      <c r="Y42" s="300"/>
      <c r="Z42" s="300"/>
    </row>
    <row r="43" spans="2:43" ht="15" hidden="1" customHeight="1" x14ac:dyDescent="0.25">
      <c r="B43" s="17"/>
      <c r="C43" s="949"/>
      <c r="D43" s="1255"/>
      <c r="E43" s="1255"/>
      <c r="F43" s="1255"/>
      <c r="G43" s="1255"/>
      <c r="H43" s="1255"/>
      <c r="I43" s="1255"/>
      <c r="J43" s="1255"/>
      <c r="K43" s="1255"/>
      <c r="L43" s="1255"/>
      <c r="M43" s="1255"/>
      <c r="N43" s="1255"/>
      <c r="O43" s="1255"/>
      <c r="P43" s="60"/>
      <c r="Q43" s="17"/>
      <c r="R43" s="927">
        <f ca="1">IF(T43=1,1,0)</f>
        <v>0</v>
      </c>
      <c r="S43" s="881" t="s">
        <v>2406</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2407</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2052</v>
      </c>
      <c r="O45" s="218" t="s">
        <v>2228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5" t="str" cm="1">
        <f t="array" aca="1" ref="D46" ca="1">IF(AND(T46=1,T48=1),INDIRECT("G"&amp;T47),"")</f>
        <v/>
      </c>
      <c r="E46" s="1255"/>
      <c r="F46" s="1255"/>
      <c r="G46" s="1255"/>
      <c r="H46" s="1255"/>
      <c r="I46" s="1255"/>
      <c r="J46" s="1255"/>
      <c r="K46" s="1255"/>
      <c r="L46" s="1255"/>
      <c r="M46" s="1255"/>
      <c r="N46" s="1255"/>
      <c r="O46" s="1255"/>
      <c r="P46" s="60"/>
      <c r="Q46" s="17"/>
      <c r="R46" s="927">
        <f ca="1">IF(T48=1,1,0)</f>
        <v>0</v>
      </c>
      <c r="S46" s="884" t="s">
        <v>2404</v>
      </c>
      <c r="T46" s="883">
        <f>IF(AND($T$3=1,RIGHT(S45,2)*1&lt;=$T$4),1,0)</f>
        <v>0</v>
      </c>
      <c r="U46" s="300"/>
      <c r="V46" s="300"/>
      <c r="W46" s="300"/>
      <c r="X46" s="300"/>
      <c r="Y46" s="300"/>
      <c r="Z46" s="300"/>
    </row>
    <row r="47" spans="2:43" ht="15" hidden="1" customHeight="1" x14ac:dyDescent="0.25">
      <c r="B47" s="17"/>
      <c r="C47" s="949"/>
      <c r="D47" s="1255"/>
      <c r="E47" s="1255"/>
      <c r="F47" s="1255"/>
      <c r="G47" s="1255"/>
      <c r="H47" s="1255"/>
      <c r="I47" s="1255"/>
      <c r="J47" s="1255"/>
      <c r="K47" s="1255"/>
      <c r="L47" s="1255"/>
      <c r="M47" s="1255"/>
      <c r="N47" s="1255"/>
      <c r="O47" s="1255"/>
      <c r="P47" s="60"/>
      <c r="Q47" s="17"/>
      <c r="R47" s="927">
        <f ca="1">IF(T48=1,1,0)</f>
        <v>0</v>
      </c>
      <c r="S47" s="884" t="s">
        <v>2405</v>
      </c>
      <c r="T47" s="883" t="str">
        <f>IF(T46=1,RIGHT(LEFT($T$11,RIGHT(S45,2)*3),3)*1,"-")</f>
        <v>-</v>
      </c>
      <c r="U47" s="300"/>
      <c r="V47" s="300"/>
      <c r="W47" s="300"/>
      <c r="X47" s="300"/>
      <c r="Y47" s="300"/>
      <c r="Z47" s="300"/>
    </row>
    <row r="48" spans="2:43" ht="15" hidden="1" customHeight="1" x14ac:dyDescent="0.25">
      <c r="B48" s="17"/>
      <c r="C48" s="949"/>
      <c r="D48" s="1255"/>
      <c r="E48" s="1255"/>
      <c r="F48" s="1255"/>
      <c r="G48" s="1255"/>
      <c r="H48" s="1255"/>
      <c r="I48" s="1255"/>
      <c r="J48" s="1255"/>
      <c r="K48" s="1255"/>
      <c r="L48" s="1255"/>
      <c r="M48" s="1255"/>
      <c r="N48" s="1255"/>
      <c r="O48" s="1255"/>
      <c r="P48" s="60"/>
      <c r="Q48" s="17"/>
      <c r="R48" s="927">
        <f ca="1">IF(T48=1,1,0)</f>
        <v>0</v>
      </c>
      <c r="S48" s="884" t="s">
        <v>2406</v>
      </c>
      <c r="T48" s="883" cm="1">
        <f t="array" aca="1" ref="T48" ca="1">IF(AND($T$3=1,T46=1),IF(OR(ISBLANK(INDIRECT("G"&amp;T47)),TRIM(INDIRECT("G"&amp;T47))=""),0,1),0)</f>
        <v>0</v>
      </c>
      <c r="U48" s="1257"/>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2407</v>
      </c>
      <c r="T49" s="883" cm="1">
        <f t="array" aca="1" ref="T49" ca="1">IF(AND(T46=1,SUBSTITUTE($T$12,"|"&amp;N45&amp;"|","####")&lt;&gt;$T$12),INDIRECT("M"&amp;T47),0)</f>
        <v>0</v>
      </c>
      <c r="U49" s="1257"/>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2052</v>
      </c>
      <c r="O50" s="218" t="s">
        <v>2228</v>
      </c>
      <c r="P50" s="60"/>
      <c r="Q50" s="17"/>
      <c r="R50" s="927">
        <f>IF(T51=1,1,0)</f>
        <v>0</v>
      </c>
      <c r="S50" s="885" t="str">
        <f>"Team "&amp;RIGHT("00"&amp;RIGHT(S45,2)*1+1,2)</f>
        <v>Team 08</v>
      </c>
      <c r="T50" s="886" t="str" cm="1">
        <f t="array" aca="1" ref="T50" ca="1">IF(AND($T$3=1,T51=1),INDIRECT("B"&amp;T52),"-")</f>
        <v>-</v>
      </c>
      <c r="U50" s="1257"/>
      <c r="V50" s="923"/>
      <c r="W50" s="923"/>
      <c r="X50" s="923"/>
      <c r="Y50" s="923"/>
      <c r="Z50" s="923"/>
    </row>
    <row r="51" spans="2:26" ht="15" hidden="1" customHeight="1" x14ac:dyDescent="0.25">
      <c r="B51" s="17"/>
      <c r="C51" s="949"/>
      <c r="D51" s="1255" t="str" cm="1">
        <f t="array" aca="1" ref="D51" ca="1">IF(AND(T51=1,T53=1),INDIRECT("G"&amp;T52),"")</f>
        <v/>
      </c>
      <c r="E51" s="1255"/>
      <c r="F51" s="1255"/>
      <c r="G51" s="1255"/>
      <c r="H51" s="1255"/>
      <c r="I51" s="1255"/>
      <c r="J51" s="1255"/>
      <c r="K51" s="1255"/>
      <c r="L51" s="1255"/>
      <c r="M51" s="1255"/>
      <c r="N51" s="1255"/>
      <c r="O51" s="1255"/>
      <c r="P51" s="60"/>
      <c r="Q51" s="17"/>
      <c r="R51" s="927">
        <f ca="1">IF(T53=1,1,0)</f>
        <v>0</v>
      </c>
      <c r="S51" s="887" t="s">
        <v>2404</v>
      </c>
      <c r="T51" s="886">
        <f>IF(AND($T$3=1,RIGHT(S50,2)*1&lt;=$T$4),1,0)</f>
        <v>0</v>
      </c>
      <c r="U51" s="777"/>
      <c r="V51" s="300"/>
      <c r="W51" s="300"/>
      <c r="X51" s="300"/>
      <c r="Y51" s="390"/>
      <c r="Z51" s="300"/>
    </row>
    <row r="52" spans="2:26" ht="15" hidden="1" customHeight="1" x14ac:dyDescent="0.25">
      <c r="B52" s="17"/>
      <c r="C52" s="949"/>
      <c r="D52" s="1255"/>
      <c r="E52" s="1255"/>
      <c r="F52" s="1255"/>
      <c r="G52" s="1255"/>
      <c r="H52" s="1255"/>
      <c r="I52" s="1255"/>
      <c r="J52" s="1255"/>
      <c r="K52" s="1255"/>
      <c r="L52" s="1255"/>
      <c r="M52" s="1255"/>
      <c r="N52" s="1255"/>
      <c r="O52" s="1255"/>
      <c r="P52" s="60"/>
      <c r="Q52" s="17"/>
      <c r="R52" s="927">
        <f ca="1">IF(T53=1,1,0)</f>
        <v>0</v>
      </c>
      <c r="S52" s="887" t="s">
        <v>2405</v>
      </c>
      <c r="T52" s="886" t="str">
        <f>IF(T51=1,RIGHT(LEFT($T$11,RIGHT(S50,2)*3),3)*1,"-")</f>
        <v>-</v>
      </c>
      <c r="U52" s="1257"/>
      <c r="V52" s="923"/>
      <c r="W52" s="923"/>
      <c r="X52" s="923"/>
      <c r="Y52" s="923"/>
      <c r="Z52" s="923"/>
    </row>
    <row r="53" spans="2:26" ht="15" hidden="1" customHeight="1" x14ac:dyDescent="0.25">
      <c r="B53" s="17"/>
      <c r="C53" s="949"/>
      <c r="D53" s="1255"/>
      <c r="E53" s="1255"/>
      <c r="F53" s="1255"/>
      <c r="G53" s="1255"/>
      <c r="H53" s="1255"/>
      <c r="I53" s="1255"/>
      <c r="J53" s="1255"/>
      <c r="K53" s="1255"/>
      <c r="L53" s="1255"/>
      <c r="M53" s="1255"/>
      <c r="N53" s="1255"/>
      <c r="O53" s="1255"/>
      <c r="P53" s="60"/>
      <c r="Q53" s="17"/>
      <c r="R53" s="927">
        <f ca="1">IF(T53=1,1,0)</f>
        <v>0</v>
      </c>
      <c r="S53" s="887" t="s">
        <v>2406</v>
      </c>
      <c r="T53" s="886" cm="1">
        <f t="array" aca="1" ref="T53" ca="1">IF(AND($T$3=1,T51=1),IF(OR(ISBLANK(INDIRECT("G"&amp;T52)),TRIM(INDIRECT("G"&amp;T52))=""),0,1),0)</f>
        <v>0</v>
      </c>
      <c r="U53" s="1257"/>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2407</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2052</v>
      </c>
      <c r="O55" s="218" t="s">
        <v>2228</v>
      </c>
      <c r="P55" s="60"/>
      <c r="Q55" s="17"/>
      <c r="R55" s="927">
        <f>IF(T56=1,1,0)</f>
        <v>0</v>
      </c>
      <c r="S55" s="888" t="str">
        <f>"Team "&amp;RIGHT("00"&amp;RIGHT(S50,2)*1+1,2)</f>
        <v>Team 09</v>
      </c>
      <c r="T55" s="889" t="str" cm="1">
        <f t="array" aca="1" ref="T55" ca="1">IF(AND($T$3=1,T56=1),INDIRECT("B"&amp;T57),"-")</f>
        <v>-</v>
      </c>
      <c r="U55" s="1257"/>
      <c r="V55" s="923"/>
      <c r="W55" s="923"/>
      <c r="X55" s="923"/>
      <c r="Y55" s="923"/>
      <c r="Z55" s="923"/>
    </row>
    <row r="56" spans="2:26" ht="15" hidden="1" customHeight="1" x14ac:dyDescent="0.25">
      <c r="B56" s="17"/>
      <c r="C56" s="949"/>
      <c r="D56" s="1255" t="str" cm="1">
        <f t="array" aca="1" ref="D56" ca="1">IF(AND(T56=1,T58=1),INDIRECT("G"&amp;T57),"")</f>
        <v/>
      </c>
      <c r="E56" s="1255"/>
      <c r="F56" s="1255"/>
      <c r="G56" s="1255"/>
      <c r="H56" s="1255"/>
      <c r="I56" s="1255"/>
      <c r="J56" s="1255"/>
      <c r="K56" s="1255"/>
      <c r="L56" s="1255"/>
      <c r="M56" s="1255"/>
      <c r="N56" s="1255"/>
      <c r="O56" s="1255"/>
      <c r="P56" s="60"/>
      <c r="Q56" s="17"/>
      <c r="R56" s="927">
        <f ca="1">IF(T58=1,1,0)</f>
        <v>0</v>
      </c>
      <c r="S56" s="890" t="s">
        <v>2404</v>
      </c>
      <c r="T56" s="889">
        <f>IF(AND($T$3=1,RIGHT(S55,2)*1&lt;=$T$4),1,0)</f>
        <v>0</v>
      </c>
      <c r="U56" s="1257"/>
      <c r="V56" s="923"/>
      <c r="W56" s="923"/>
      <c r="X56" s="923"/>
      <c r="Y56" s="923"/>
      <c r="Z56" s="923"/>
    </row>
    <row r="57" spans="2:26" ht="15" hidden="1" customHeight="1" x14ac:dyDescent="0.25">
      <c r="B57" s="17"/>
      <c r="C57" s="949"/>
      <c r="D57" s="1255"/>
      <c r="E57" s="1255"/>
      <c r="F57" s="1255"/>
      <c r="G57" s="1255"/>
      <c r="H57" s="1255"/>
      <c r="I57" s="1255"/>
      <c r="J57" s="1255"/>
      <c r="K57" s="1255"/>
      <c r="L57" s="1255"/>
      <c r="M57" s="1255"/>
      <c r="N57" s="1255"/>
      <c r="O57" s="1255"/>
      <c r="P57" s="60"/>
      <c r="Q57" s="17"/>
      <c r="R57" s="927">
        <f ca="1">IF(T58=1,1,0)</f>
        <v>0</v>
      </c>
      <c r="S57" s="890" t="s">
        <v>2405</v>
      </c>
      <c r="T57" s="889" t="str">
        <f>IF(T56=1,RIGHT(LEFT($T$11,RIGHT(S55,2)*3),3)*1,"-")</f>
        <v>-</v>
      </c>
      <c r="U57" s="1257"/>
      <c r="V57" s="923"/>
      <c r="W57" s="923"/>
      <c r="X57" s="923"/>
      <c r="Y57" s="923"/>
      <c r="Z57" s="923"/>
    </row>
    <row r="58" spans="2:26" ht="15" hidden="1" customHeight="1" x14ac:dyDescent="0.25">
      <c r="B58" s="17"/>
      <c r="C58" s="949"/>
      <c r="D58" s="1255"/>
      <c r="E58" s="1255"/>
      <c r="F58" s="1255"/>
      <c r="G58" s="1255"/>
      <c r="H58" s="1255"/>
      <c r="I58" s="1255"/>
      <c r="J58" s="1255"/>
      <c r="K58" s="1255"/>
      <c r="L58" s="1255"/>
      <c r="M58" s="1255"/>
      <c r="N58" s="1255"/>
      <c r="O58" s="1255"/>
      <c r="P58" s="60"/>
      <c r="Q58" s="17"/>
      <c r="R58" s="927">
        <f ca="1">IF(T58=1,1,0)</f>
        <v>0</v>
      </c>
      <c r="S58" s="890" t="s">
        <v>2406</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2407</v>
      </c>
      <c r="T59" s="889" cm="1">
        <f t="array" aca="1" ref="T59" ca="1">IF(AND(T56=1,SUBSTITUTE($T$12,"|"&amp;N55&amp;"|","####")&lt;&gt;$T$12),INDIRECT("M"&amp;T57),0)</f>
        <v>0</v>
      </c>
      <c r="U59" s="1257"/>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2052</v>
      </c>
      <c r="O60" s="218" t="s">
        <v>2228</v>
      </c>
      <c r="P60" s="60"/>
      <c r="Q60" s="17"/>
      <c r="R60" s="927">
        <f>IF(T61=1,1,0)</f>
        <v>0</v>
      </c>
      <c r="S60" s="891" t="str">
        <f>"Team "&amp;RIGHT("00"&amp;RIGHT(S55,2)*1+1,2)</f>
        <v>Team 10</v>
      </c>
      <c r="T60" s="892" t="str" cm="1">
        <f t="array" aca="1" ref="T60" ca="1">IF(AND($T$3=1,T61=1),INDIRECT("B"&amp;T62),"-")</f>
        <v>-</v>
      </c>
      <c r="U60" s="1257"/>
      <c r="V60" s="923"/>
      <c r="W60" s="923"/>
      <c r="X60" s="923"/>
      <c r="Y60" s="923"/>
      <c r="Z60" s="923"/>
    </row>
    <row r="61" spans="2:26" ht="15" hidden="1" customHeight="1" x14ac:dyDescent="0.25">
      <c r="B61" s="17"/>
      <c r="C61" s="949"/>
      <c r="D61" s="1255" t="str" cm="1">
        <f t="array" aca="1" ref="D61" ca="1">IF(AND(T61=1,T63=1),INDIRECT("G"&amp;T62),"")</f>
        <v/>
      </c>
      <c r="E61" s="1255"/>
      <c r="F61" s="1255"/>
      <c r="G61" s="1255"/>
      <c r="H61" s="1255"/>
      <c r="I61" s="1255"/>
      <c r="J61" s="1255"/>
      <c r="K61" s="1255"/>
      <c r="L61" s="1255"/>
      <c r="M61" s="1255"/>
      <c r="N61" s="1255"/>
      <c r="O61" s="1255"/>
      <c r="P61" s="60"/>
      <c r="Q61" s="17"/>
      <c r="R61" s="927">
        <f ca="1">IF(T63=1,1,0)</f>
        <v>0</v>
      </c>
      <c r="S61" s="743" t="s">
        <v>2404</v>
      </c>
      <c r="T61" s="892">
        <f>IF(AND($T$3=1,RIGHT(S60,2)*1&lt;=$T$4),1,0)</f>
        <v>0</v>
      </c>
      <c r="U61" s="777"/>
      <c r="V61" s="300"/>
      <c r="W61" s="300"/>
      <c r="X61" s="300"/>
      <c r="Y61" s="300"/>
      <c r="Z61" s="300"/>
    </row>
    <row r="62" spans="2:26" ht="15" hidden="1" customHeight="1" x14ac:dyDescent="0.25">
      <c r="B62" s="17"/>
      <c r="C62" s="949"/>
      <c r="D62" s="1255"/>
      <c r="E62" s="1255"/>
      <c r="F62" s="1255"/>
      <c r="G62" s="1255"/>
      <c r="H62" s="1255"/>
      <c r="I62" s="1255"/>
      <c r="J62" s="1255"/>
      <c r="K62" s="1255"/>
      <c r="L62" s="1255"/>
      <c r="M62" s="1255"/>
      <c r="N62" s="1255"/>
      <c r="O62" s="1255"/>
      <c r="P62" s="60"/>
      <c r="Q62" s="17"/>
      <c r="R62" s="927">
        <f ca="1">IF(T63=1,1,0)</f>
        <v>0</v>
      </c>
      <c r="S62" s="743" t="s">
        <v>2405</v>
      </c>
      <c r="T62" s="892" t="str">
        <f>IF(T61=1,RIGHT(LEFT($T$11,RIGHT(S60,2)*3),3)*1,"-")</f>
        <v>-</v>
      </c>
      <c r="U62" s="777"/>
      <c r="V62" s="300"/>
      <c r="W62" s="300"/>
      <c r="X62" s="300"/>
      <c r="Y62" s="300"/>
      <c r="Z62" s="300"/>
    </row>
    <row r="63" spans="2:26" ht="15" hidden="1" customHeight="1" x14ac:dyDescent="0.25">
      <c r="B63" s="17"/>
      <c r="C63" s="949"/>
      <c r="D63" s="1255"/>
      <c r="E63" s="1255"/>
      <c r="F63" s="1255"/>
      <c r="G63" s="1255"/>
      <c r="H63" s="1255"/>
      <c r="I63" s="1255"/>
      <c r="J63" s="1255"/>
      <c r="K63" s="1255"/>
      <c r="L63" s="1255"/>
      <c r="M63" s="1255"/>
      <c r="N63" s="1255"/>
      <c r="O63" s="1255"/>
      <c r="P63" s="60"/>
      <c r="Q63" s="17"/>
      <c r="R63" s="927">
        <f ca="1">IF(T63=1,1,0)</f>
        <v>0</v>
      </c>
      <c r="S63" s="743" t="s">
        <v>2406</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2407</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2408</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2052</v>
      </c>
      <c r="O66" s="218" t="s">
        <v>2228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5" t="str" cm="1">
        <f t="array" aca="1" ref="D67" ca="1">IF(AND(T67=1,T69=1),INDIRECT("G"&amp;T68),"")</f>
        <v/>
      </c>
      <c r="E67" s="1255"/>
      <c r="F67" s="1255"/>
      <c r="G67" s="1255"/>
      <c r="H67" s="1255"/>
      <c r="I67" s="1255"/>
      <c r="J67" s="1255"/>
      <c r="K67" s="1255"/>
      <c r="L67" s="1255"/>
      <c r="M67" s="1255"/>
      <c r="N67" s="1255"/>
      <c r="O67" s="1255"/>
      <c r="P67" s="60"/>
      <c r="Q67" s="17"/>
      <c r="R67" s="927">
        <f ca="1">IF(T69=1,1,0)</f>
        <v>0</v>
      </c>
      <c r="S67" s="893" t="s">
        <v>2404</v>
      </c>
      <c r="T67" s="435">
        <f>IF(AND($T$3=1,RIGHT(S66,2)*1&lt;=$T$4),1,0)</f>
        <v>0</v>
      </c>
      <c r="U67" s="777"/>
      <c r="V67" s="300"/>
      <c r="W67" s="300"/>
      <c r="X67" s="300"/>
      <c r="Y67" s="300"/>
      <c r="Z67" s="300"/>
    </row>
    <row r="68" spans="2:26" ht="15" hidden="1" customHeight="1" x14ac:dyDescent="0.25">
      <c r="B68" s="17"/>
      <c r="C68" s="949"/>
      <c r="D68" s="1255"/>
      <c r="E68" s="1255"/>
      <c r="F68" s="1255"/>
      <c r="G68" s="1255"/>
      <c r="H68" s="1255"/>
      <c r="I68" s="1255"/>
      <c r="J68" s="1255"/>
      <c r="K68" s="1255"/>
      <c r="L68" s="1255"/>
      <c r="M68" s="1255"/>
      <c r="N68" s="1255"/>
      <c r="O68" s="1255"/>
      <c r="P68" s="60"/>
      <c r="Q68" s="17"/>
      <c r="R68" s="927">
        <f ca="1">IF(T69=1,1,0)</f>
        <v>0</v>
      </c>
      <c r="S68" s="893" t="s">
        <v>2405</v>
      </c>
      <c r="T68" s="435" t="str">
        <f>IF(T67=1,RIGHT(LEFT($T$11,RIGHT(S66,2)*3),3)*1,"-")</f>
        <v>-</v>
      </c>
      <c r="U68" s="777"/>
      <c r="V68" s="300"/>
      <c r="W68" s="300"/>
      <c r="X68" s="300"/>
      <c r="Y68" s="300"/>
      <c r="Z68" s="300"/>
    </row>
    <row r="69" spans="2:26" ht="15" hidden="1" customHeight="1" x14ac:dyDescent="0.25">
      <c r="B69" s="17"/>
      <c r="C69" s="949"/>
      <c r="D69" s="1255"/>
      <c r="E69" s="1255"/>
      <c r="F69" s="1255"/>
      <c r="G69" s="1255"/>
      <c r="H69" s="1255"/>
      <c r="I69" s="1255"/>
      <c r="J69" s="1255"/>
      <c r="K69" s="1255"/>
      <c r="L69" s="1255"/>
      <c r="M69" s="1255"/>
      <c r="N69" s="1255"/>
      <c r="O69" s="1255"/>
      <c r="P69" s="60"/>
      <c r="Q69" s="17"/>
      <c r="R69" s="927">
        <f ca="1">IF(T69=1,1,0)</f>
        <v>0</v>
      </c>
      <c r="S69" s="893" t="s">
        <v>2406</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2407</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2408</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2052</v>
      </c>
      <c r="O72" s="218" t="s">
        <v>2228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5" t="str" cm="1">
        <f t="array" aca="1" ref="D73" ca="1">IF(AND(T73=1,T75=1),INDIRECT("G"&amp;T74),"")</f>
        <v/>
      </c>
      <c r="E73" s="1255"/>
      <c r="F73" s="1255"/>
      <c r="G73" s="1255"/>
      <c r="H73" s="1255"/>
      <c r="I73" s="1255"/>
      <c r="J73" s="1255"/>
      <c r="K73" s="1255"/>
      <c r="L73" s="1255"/>
      <c r="M73" s="1255"/>
      <c r="N73" s="1255"/>
      <c r="O73" s="1255"/>
      <c r="P73" s="60"/>
      <c r="Q73" s="17"/>
      <c r="R73" s="927">
        <f ca="1">IF(T75=1,1,0)</f>
        <v>0</v>
      </c>
      <c r="S73" s="895" t="s">
        <v>2404</v>
      </c>
      <c r="T73" s="481">
        <f>IF(AND($T$3=1,RIGHT(S72,2)*1&lt;=$T$4),1,0)</f>
        <v>0</v>
      </c>
      <c r="U73" s="777"/>
      <c r="V73" s="300"/>
      <c r="W73" s="300"/>
      <c r="X73" s="300"/>
      <c r="Y73" s="300"/>
      <c r="Z73" s="300"/>
    </row>
    <row r="74" spans="2:26" ht="15" hidden="1" customHeight="1" x14ac:dyDescent="0.25">
      <c r="B74" s="17"/>
      <c r="C74" s="949"/>
      <c r="D74" s="1255"/>
      <c r="E74" s="1255"/>
      <c r="F74" s="1255"/>
      <c r="G74" s="1255"/>
      <c r="H74" s="1255"/>
      <c r="I74" s="1255"/>
      <c r="J74" s="1255"/>
      <c r="K74" s="1255"/>
      <c r="L74" s="1255"/>
      <c r="M74" s="1255"/>
      <c r="N74" s="1255"/>
      <c r="O74" s="1255"/>
      <c r="P74" s="60"/>
      <c r="Q74" s="17"/>
      <c r="R74" s="927">
        <f ca="1">IF(T75=1,1,0)</f>
        <v>0</v>
      </c>
      <c r="S74" s="895" t="s">
        <v>2405</v>
      </c>
      <c r="T74" s="481" t="str">
        <f>IF(T73=1,RIGHT(LEFT($T$11,RIGHT(S72,2)*3),3)*1,"-")</f>
        <v>-</v>
      </c>
      <c r="U74" s="777"/>
      <c r="V74" s="300"/>
      <c r="W74" s="300"/>
      <c r="X74" s="300"/>
      <c r="Y74" s="300"/>
      <c r="Z74" s="300"/>
    </row>
    <row r="75" spans="2:26" ht="15" hidden="1" customHeight="1" x14ac:dyDescent="0.25">
      <c r="B75" s="17"/>
      <c r="C75" s="949"/>
      <c r="D75" s="1255"/>
      <c r="E75" s="1255"/>
      <c r="F75" s="1255"/>
      <c r="G75" s="1255"/>
      <c r="H75" s="1255"/>
      <c r="I75" s="1255"/>
      <c r="J75" s="1255"/>
      <c r="K75" s="1255"/>
      <c r="L75" s="1255"/>
      <c r="M75" s="1255"/>
      <c r="N75" s="1255"/>
      <c r="O75" s="1255"/>
      <c r="P75" s="60"/>
      <c r="Q75" s="17"/>
      <c r="R75" s="927">
        <f ca="1">IF(T75=1,1,0)</f>
        <v>0</v>
      </c>
      <c r="S75" s="895" t="s">
        <v>2406</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2407</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2408</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2052</v>
      </c>
      <c r="O78" s="218" t="s">
        <v>2228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5" t="str" cm="1">
        <f t="array" aca="1" ref="D79" ca="1">IF(AND(T79=1,T81=1),INDIRECT("G"&amp;T80),"")</f>
        <v/>
      </c>
      <c r="E79" s="1255"/>
      <c r="F79" s="1255"/>
      <c r="G79" s="1255"/>
      <c r="H79" s="1255"/>
      <c r="I79" s="1255"/>
      <c r="J79" s="1255"/>
      <c r="K79" s="1255"/>
      <c r="L79" s="1255"/>
      <c r="M79" s="1255"/>
      <c r="N79" s="1255"/>
      <c r="O79" s="1255"/>
      <c r="P79" s="60"/>
      <c r="Q79" s="17"/>
      <c r="R79" s="927">
        <f ca="1">IF(T81=1,1,0)</f>
        <v>0</v>
      </c>
      <c r="S79" s="252" t="s">
        <v>2404</v>
      </c>
      <c r="T79" s="897">
        <f>IF(AND($T$3=1,RIGHT(S78,2)*1&lt;=$T$4),1,0)</f>
        <v>0</v>
      </c>
      <c r="U79" s="777"/>
      <c r="V79" s="300"/>
      <c r="W79" s="300"/>
      <c r="X79" s="300"/>
      <c r="Y79" s="300"/>
      <c r="Z79" s="300"/>
    </row>
    <row r="80" spans="2:26" ht="15" hidden="1" customHeight="1" x14ac:dyDescent="0.25">
      <c r="B80" s="17"/>
      <c r="C80" s="949"/>
      <c r="D80" s="1255"/>
      <c r="E80" s="1255"/>
      <c r="F80" s="1255"/>
      <c r="G80" s="1255"/>
      <c r="H80" s="1255"/>
      <c r="I80" s="1255"/>
      <c r="J80" s="1255"/>
      <c r="K80" s="1255"/>
      <c r="L80" s="1255"/>
      <c r="M80" s="1255"/>
      <c r="N80" s="1255"/>
      <c r="O80" s="1255"/>
      <c r="P80" s="60"/>
      <c r="Q80" s="17"/>
      <c r="R80" s="927">
        <f ca="1">IF(T81=1,1,0)</f>
        <v>0</v>
      </c>
      <c r="S80" s="252" t="s">
        <v>2405</v>
      </c>
      <c r="T80" s="897" t="str">
        <f>IF(T79=1,RIGHT(LEFT($T$11,RIGHT(S78,2)*3),3)*1,"-")</f>
        <v>-</v>
      </c>
      <c r="U80" s="777"/>
      <c r="V80" s="300"/>
      <c r="W80" s="300"/>
      <c r="X80" s="300"/>
      <c r="Y80" s="300"/>
      <c r="Z80" s="300"/>
    </row>
    <row r="81" spans="2:26" ht="15" hidden="1" customHeight="1" x14ac:dyDescent="0.25">
      <c r="B81" s="17"/>
      <c r="C81" s="949"/>
      <c r="D81" s="1255"/>
      <c r="E81" s="1255"/>
      <c r="F81" s="1255"/>
      <c r="G81" s="1255"/>
      <c r="H81" s="1255"/>
      <c r="I81" s="1255"/>
      <c r="J81" s="1255"/>
      <c r="K81" s="1255"/>
      <c r="L81" s="1255"/>
      <c r="M81" s="1255"/>
      <c r="N81" s="1255"/>
      <c r="O81" s="1255"/>
      <c r="P81" s="60"/>
      <c r="Q81" s="17"/>
      <c r="R81" s="927">
        <f ca="1">IF(T81=1,1,0)</f>
        <v>0</v>
      </c>
      <c r="S81" s="252" t="s">
        <v>2406</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2407</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2408</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2052</v>
      </c>
      <c r="O84" s="218" t="s">
        <v>2228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5" t="str" cm="1">
        <f t="array" aca="1" ref="D85" ca="1">IF(AND(T85=1,T87=1),INDIRECT("G"&amp;T86),"")</f>
        <v/>
      </c>
      <c r="E85" s="1255"/>
      <c r="F85" s="1255"/>
      <c r="G85" s="1255"/>
      <c r="H85" s="1255"/>
      <c r="I85" s="1255"/>
      <c r="J85" s="1255"/>
      <c r="K85" s="1255"/>
      <c r="L85" s="1255"/>
      <c r="M85" s="1255"/>
      <c r="N85" s="1255"/>
      <c r="O85" s="1255"/>
      <c r="P85" s="60"/>
      <c r="Q85" s="17"/>
      <c r="R85" s="927">
        <f ca="1">IF(T87=1,1,0)</f>
        <v>0</v>
      </c>
      <c r="S85" s="900" t="s">
        <v>2404</v>
      </c>
      <c r="T85" s="899">
        <f>IF(AND($T$3=1,RIGHT(S84,2)*1&lt;=$T$4),1,0)</f>
        <v>0</v>
      </c>
      <c r="U85" s="777"/>
      <c r="V85" s="300"/>
      <c r="W85" s="300"/>
      <c r="X85" s="300"/>
      <c r="Y85" s="300"/>
      <c r="Z85" s="300"/>
    </row>
    <row r="86" spans="2:26" ht="15" hidden="1" customHeight="1" x14ac:dyDescent="0.25">
      <c r="B86" s="17"/>
      <c r="C86" s="949"/>
      <c r="D86" s="1255"/>
      <c r="E86" s="1255"/>
      <c r="F86" s="1255"/>
      <c r="G86" s="1255"/>
      <c r="H86" s="1255"/>
      <c r="I86" s="1255"/>
      <c r="J86" s="1255"/>
      <c r="K86" s="1255"/>
      <c r="L86" s="1255"/>
      <c r="M86" s="1255"/>
      <c r="N86" s="1255"/>
      <c r="O86" s="1255"/>
      <c r="P86" s="60"/>
      <c r="Q86" s="17"/>
      <c r="R86" s="927">
        <f ca="1">IF(T87=1,1,0)</f>
        <v>0</v>
      </c>
      <c r="S86" s="900" t="s">
        <v>2405</v>
      </c>
      <c r="T86" s="899" t="str">
        <f>IF(T85=1,RIGHT(LEFT($T$11,RIGHT(S84,2)*3),3)*1,"-")</f>
        <v>-</v>
      </c>
      <c r="U86" s="777"/>
      <c r="V86" s="300"/>
      <c r="W86" s="300"/>
      <c r="X86" s="300"/>
      <c r="Y86" s="300"/>
      <c r="Z86" s="300"/>
    </row>
    <row r="87" spans="2:26" ht="15" hidden="1" customHeight="1" x14ac:dyDescent="0.25">
      <c r="B87" s="17"/>
      <c r="C87" s="949"/>
      <c r="D87" s="1255"/>
      <c r="E87" s="1255"/>
      <c r="F87" s="1255"/>
      <c r="G87" s="1255"/>
      <c r="H87" s="1255"/>
      <c r="I87" s="1255"/>
      <c r="J87" s="1255"/>
      <c r="K87" s="1255"/>
      <c r="L87" s="1255"/>
      <c r="M87" s="1255"/>
      <c r="N87" s="1255"/>
      <c r="O87" s="1255"/>
      <c r="P87" s="60"/>
      <c r="Q87" s="17"/>
      <c r="R87" s="927">
        <f ca="1">IF(T87=1,1,0)</f>
        <v>0</v>
      </c>
      <c r="S87" s="900" t="s">
        <v>2406</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2407</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2408</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2052</v>
      </c>
      <c r="O90" s="218" t="s">
        <v>2228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5" t="str" cm="1">
        <f t="array" aca="1" ref="D91" ca="1">IF(AND(T91=1,T93=1),INDIRECT("G"&amp;T92),"")</f>
        <v/>
      </c>
      <c r="E91" s="1255"/>
      <c r="F91" s="1255"/>
      <c r="G91" s="1255"/>
      <c r="H91" s="1255"/>
      <c r="I91" s="1255"/>
      <c r="J91" s="1255"/>
      <c r="K91" s="1255"/>
      <c r="L91" s="1255"/>
      <c r="M91" s="1255"/>
      <c r="N91" s="1255"/>
      <c r="O91" s="1255"/>
      <c r="P91" s="60"/>
      <c r="Q91" s="17"/>
      <c r="R91" s="927">
        <f ca="1">IF(T93=1,1,0)</f>
        <v>0</v>
      </c>
      <c r="S91" s="902" t="s">
        <v>2404</v>
      </c>
      <c r="T91" s="736">
        <f>IF(AND($T$3=1,RIGHT(S90,2)*1&lt;=$T$4),1,0)</f>
        <v>0</v>
      </c>
      <c r="U91" s="777"/>
      <c r="V91" s="300"/>
      <c r="W91" s="300"/>
      <c r="X91" s="300"/>
      <c r="Y91" s="300"/>
      <c r="Z91" s="300"/>
    </row>
    <row r="92" spans="2:26" ht="15" hidden="1" customHeight="1" x14ac:dyDescent="0.25">
      <c r="B92" s="17"/>
      <c r="C92" s="949"/>
      <c r="D92" s="1255"/>
      <c r="E92" s="1255"/>
      <c r="F92" s="1255"/>
      <c r="G92" s="1255"/>
      <c r="H92" s="1255"/>
      <c r="I92" s="1255"/>
      <c r="J92" s="1255"/>
      <c r="K92" s="1255"/>
      <c r="L92" s="1255"/>
      <c r="M92" s="1255"/>
      <c r="N92" s="1255"/>
      <c r="O92" s="1255"/>
      <c r="P92" s="60"/>
      <c r="Q92" s="17"/>
      <c r="R92" s="927">
        <f ca="1">IF(T93=1,1,0)</f>
        <v>0</v>
      </c>
      <c r="S92" s="902" t="s">
        <v>2405</v>
      </c>
      <c r="T92" s="736" t="str">
        <f>IF(T91=1,RIGHT(LEFT($T$11,RIGHT(S90,2)*3),3)*1,"-")</f>
        <v>-</v>
      </c>
      <c r="U92" s="777"/>
      <c r="V92" s="300"/>
      <c r="W92" s="300"/>
      <c r="X92" s="300"/>
      <c r="Y92" s="300"/>
      <c r="Z92" s="300"/>
    </row>
    <row r="93" spans="2:26" ht="15" hidden="1" customHeight="1" x14ac:dyDescent="0.25">
      <c r="B93" s="17"/>
      <c r="C93" s="949"/>
      <c r="D93" s="1255"/>
      <c r="E93" s="1255"/>
      <c r="F93" s="1255"/>
      <c r="G93" s="1255"/>
      <c r="H93" s="1255"/>
      <c r="I93" s="1255"/>
      <c r="J93" s="1255"/>
      <c r="K93" s="1255"/>
      <c r="L93" s="1255"/>
      <c r="M93" s="1255"/>
      <c r="N93" s="1255"/>
      <c r="O93" s="1255"/>
      <c r="P93" s="60"/>
      <c r="Q93" s="17"/>
      <c r="R93" s="927">
        <f ca="1">IF(T93=1,1,0)</f>
        <v>0</v>
      </c>
      <c r="S93" s="902" t="s">
        <v>2406</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2407</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2408</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2052</v>
      </c>
      <c r="O96" s="218" t="s">
        <v>2228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5" t="str" cm="1">
        <f t="array" aca="1" ref="D97" ca="1">IF(AND(T97=1,T99=1),INDIRECT("G"&amp;T98),"")</f>
        <v/>
      </c>
      <c r="E97" s="1255"/>
      <c r="F97" s="1255"/>
      <c r="G97" s="1255"/>
      <c r="H97" s="1255"/>
      <c r="I97" s="1255"/>
      <c r="J97" s="1255"/>
      <c r="K97" s="1255"/>
      <c r="L97" s="1255"/>
      <c r="M97" s="1255"/>
      <c r="N97" s="1255"/>
      <c r="O97" s="1255"/>
      <c r="P97" s="60"/>
      <c r="Q97" s="17"/>
      <c r="R97" s="927">
        <f ca="1">IF(T99=1,1,0)</f>
        <v>0</v>
      </c>
      <c r="S97" s="905" t="s">
        <v>2404</v>
      </c>
      <c r="T97" s="434">
        <f>IF(AND($T$3=1,RIGHT(S96,2)*1&lt;=$T$4),1,0)</f>
        <v>0</v>
      </c>
      <c r="U97" s="777"/>
      <c r="V97" s="300"/>
      <c r="W97" s="300"/>
      <c r="X97" s="300"/>
      <c r="Y97" s="300"/>
      <c r="Z97" s="300"/>
    </row>
    <row r="98" spans="2:26" ht="15" hidden="1" customHeight="1" x14ac:dyDescent="0.25">
      <c r="B98" s="17"/>
      <c r="C98" s="949"/>
      <c r="D98" s="1255"/>
      <c r="E98" s="1255"/>
      <c r="F98" s="1255"/>
      <c r="G98" s="1255"/>
      <c r="H98" s="1255"/>
      <c r="I98" s="1255"/>
      <c r="J98" s="1255"/>
      <c r="K98" s="1255"/>
      <c r="L98" s="1255"/>
      <c r="M98" s="1255"/>
      <c r="N98" s="1255"/>
      <c r="O98" s="1255"/>
      <c r="P98" s="60"/>
      <c r="Q98" s="17"/>
      <c r="R98" s="927">
        <f ca="1">IF(T99=1,1,0)</f>
        <v>0</v>
      </c>
      <c r="S98" s="905" t="s">
        <v>2405</v>
      </c>
      <c r="T98" s="434" t="str">
        <f>IF(T97=1,RIGHT(LEFT($T$11,RIGHT(S96,2)*3),3)*1,"-")</f>
        <v>-</v>
      </c>
      <c r="U98" s="777"/>
      <c r="V98" s="300"/>
      <c r="W98" s="300"/>
      <c r="X98" s="300"/>
      <c r="Y98" s="300"/>
      <c r="Z98" s="300"/>
    </row>
    <row r="99" spans="2:26" ht="15" hidden="1" customHeight="1" x14ac:dyDescent="0.25">
      <c r="B99" s="17"/>
      <c r="C99" s="949"/>
      <c r="D99" s="1255"/>
      <c r="E99" s="1255"/>
      <c r="F99" s="1255"/>
      <c r="G99" s="1255"/>
      <c r="H99" s="1255"/>
      <c r="I99" s="1255"/>
      <c r="J99" s="1255"/>
      <c r="K99" s="1255"/>
      <c r="L99" s="1255"/>
      <c r="M99" s="1255"/>
      <c r="N99" s="1255"/>
      <c r="O99" s="1255"/>
      <c r="P99" s="60"/>
      <c r="Q99" s="17"/>
      <c r="R99" s="927">
        <f ca="1">IF(T99=1,1,0)</f>
        <v>0</v>
      </c>
      <c r="S99" s="905" t="s">
        <v>2406</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2407</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2408</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2052</v>
      </c>
      <c r="O102" s="218" t="s">
        <v>2228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5" t="str" cm="1">
        <f t="array" aca="1" ref="D103" ca="1">IF(AND(T103=1,T105=1),INDIRECT("G"&amp;T104),"")</f>
        <v/>
      </c>
      <c r="E103" s="1255"/>
      <c r="F103" s="1255"/>
      <c r="G103" s="1255"/>
      <c r="H103" s="1255"/>
      <c r="I103" s="1255"/>
      <c r="J103" s="1255"/>
      <c r="K103" s="1255"/>
      <c r="L103" s="1255"/>
      <c r="M103" s="1255"/>
      <c r="N103" s="1255"/>
      <c r="O103" s="1255"/>
      <c r="P103" s="60"/>
      <c r="Q103" s="17"/>
      <c r="R103" s="927">
        <f ca="1">IF(T105=1,1,0)</f>
        <v>0</v>
      </c>
      <c r="S103" s="908" t="s">
        <v>2404</v>
      </c>
      <c r="T103" s="907">
        <f>IF(AND($T$3=1,RIGHT(S102,2)*1&lt;=$T$4),1,0)</f>
        <v>0</v>
      </c>
      <c r="U103" s="777"/>
      <c r="V103" s="300"/>
      <c r="W103" s="300"/>
      <c r="X103" s="300"/>
      <c r="Y103" s="300"/>
      <c r="Z103" s="300"/>
    </row>
    <row r="104" spans="2:26" ht="15" hidden="1" customHeight="1" x14ac:dyDescent="0.25">
      <c r="B104" s="17"/>
      <c r="C104" s="949"/>
      <c r="D104" s="1255"/>
      <c r="E104" s="1255"/>
      <c r="F104" s="1255"/>
      <c r="G104" s="1255"/>
      <c r="H104" s="1255"/>
      <c r="I104" s="1255"/>
      <c r="J104" s="1255"/>
      <c r="K104" s="1255"/>
      <c r="L104" s="1255"/>
      <c r="M104" s="1255"/>
      <c r="N104" s="1255"/>
      <c r="O104" s="1255"/>
      <c r="P104" s="60"/>
      <c r="Q104" s="17"/>
      <c r="R104" s="927">
        <f ca="1">IF(T105=1,1,0)</f>
        <v>0</v>
      </c>
      <c r="S104" s="908" t="s">
        <v>2405</v>
      </c>
      <c r="T104" s="907" t="str">
        <f>IF(T103=1,RIGHT(LEFT($T$11,RIGHT(S102,2)*3),3)*1,"-")</f>
        <v>-</v>
      </c>
      <c r="U104" s="777"/>
      <c r="V104" s="300"/>
      <c r="W104" s="300"/>
      <c r="X104" s="300"/>
      <c r="Y104" s="300"/>
      <c r="Z104" s="300"/>
    </row>
    <row r="105" spans="2:26" ht="15" hidden="1" customHeight="1" x14ac:dyDescent="0.25">
      <c r="B105" s="17"/>
      <c r="C105" s="949"/>
      <c r="D105" s="1255"/>
      <c r="E105" s="1255"/>
      <c r="F105" s="1255"/>
      <c r="G105" s="1255"/>
      <c r="H105" s="1255"/>
      <c r="I105" s="1255"/>
      <c r="J105" s="1255"/>
      <c r="K105" s="1255"/>
      <c r="L105" s="1255"/>
      <c r="M105" s="1255"/>
      <c r="N105" s="1255"/>
      <c r="O105" s="1255"/>
      <c r="P105" s="60"/>
      <c r="Q105" s="17"/>
      <c r="R105" s="927">
        <f ca="1">IF(T105=1,1,0)</f>
        <v>0</v>
      </c>
      <c r="S105" s="908" t="s">
        <v>2406</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2407</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2408</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2052</v>
      </c>
      <c r="O108" s="218" t="s">
        <v>2228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5" t="str" cm="1">
        <f t="array" aca="1" ref="D109" ca="1">IF(AND(T109=1,T111=1),INDIRECT("G"&amp;T110),"")</f>
        <v/>
      </c>
      <c r="E109" s="1255"/>
      <c r="F109" s="1255"/>
      <c r="G109" s="1255"/>
      <c r="H109" s="1255"/>
      <c r="I109" s="1255"/>
      <c r="J109" s="1255"/>
      <c r="K109" s="1255"/>
      <c r="L109" s="1255"/>
      <c r="M109" s="1255"/>
      <c r="N109" s="1255"/>
      <c r="O109" s="1255"/>
      <c r="P109" s="60"/>
      <c r="Q109" s="17"/>
      <c r="R109" s="927">
        <f ca="1">IF(T111=1,1,0)</f>
        <v>0</v>
      </c>
      <c r="S109" s="911" t="s">
        <v>2404</v>
      </c>
      <c r="T109" s="910">
        <f>IF(AND($T$3=1,RIGHT(S108,2)*1&lt;=$T$4),1,0)</f>
        <v>0</v>
      </c>
      <c r="U109" s="777"/>
      <c r="V109" s="300"/>
      <c r="W109" s="300"/>
      <c r="X109" s="300"/>
      <c r="Y109" s="300"/>
      <c r="Z109" s="300"/>
    </row>
    <row r="110" spans="2:26" ht="15" hidden="1" customHeight="1" x14ac:dyDescent="0.25">
      <c r="B110" s="17"/>
      <c r="C110" s="949"/>
      <c r="D110" s="1255"/>
      <c r="E110" s="1255"/>
      <c r="F110" s="1255"/>
      <c r="G110" s="1255"/>
      <c r="H110" s="1255"/>
      <c r="I110" s="1255"/>
      <c r="J110" s="1255"/>
      <c r="K110" s="1255"/>
      <c r="L110" s="1255"/>
      <c r="M110" s="1255"/>
      <c r="N110" s="1255"/>
      <c r="O110" s="1255"/>
      <c r="P110" s="60"/>
      <c r="Q110" s="17"/>
      <c r="R110" s="927">
        <f ca="1">IF(T111=1,1,0)</f>
        <v>0</v>
      </c>
      <c r="S110" s="911" t="s">
        <v>2405</v>
      </c>
      <c r="T110" s="910" t="str">
        <f>IF(T109=1,RIGHT(LEFT($T$11,RIGHT(S108,2)*3),3)*1,"-")</f>
        <v>-</v>
      </c>
      <c r="U110" s="777"/>
      <c r="V110" s="300"/>
      <c r="W110" s="300"/>
      <c r="X110" s="300"/>
      <c r="Y110" s="300"/>
      <c r="Z110" s="300"/>
    </row>
    <row r="111" spans="2:26" ht="15" hidden="1" customHeight="1" x14ac:dyDescent="0.25">
      <c r="B111" s="17"/>
      <c r="C111" s="949"/>
      <c r="D111" s="1255"/>
      <c r="E111" s="1255"/>
      <c r="F111" s="1255"/>
      <c r="G111" s="1255"/>
      <c r="H111" s="1255"/>
      <c r="I111" s="1255"/>
      <c r="J111" s="1255"/>
      <c r="K111" s="1255"/>
      <c r="L111" s="1255"/>
      <c r="M111" s="1255"/>
      <c r="N111" s="1255"/>
      <c r="O111" s="1255"/>
      <c r="P111" s="60"/>
      <c r="Q111" s="17"/>
      <c r="R111" s="927">
        <f ca="1">IF(T111=1,1,0)</f>
        <v>0</v>
      </c>
      <c r="S111" s="911" t="s">
        <v>2406</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2407</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2408</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2052</v>
      </c>
      <c r="O114" s="218" t="s">
        <v>2228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5" t="str" cm="1">
        <f t="array" aca="1" ref="D115" ca="1">IF(AND(T115=1,T117=1),INDIRECT("G"&amp;T116),"")</f>
        <v/>
      </c>
      <c r="E115" s="1255"/>
      <c r="F115" s="1255"/>
      <c r="G115" s="1255"/>
      <c r="H115" s="1255"/>
      <c r="I115" s="1255"/>
      <c r="J115" s="1255"/>
      <c r="K115" s="1255"/>
      <c r="L115" s="1255"/>
      <c r="M115" s="1255"/>
      <c r="N115" s="1255"/>
      <c r="O115" s="1255"/>
      <c r="P115" s="60"/>
      <c r="Q115" s="17"/>
      <c r="R115" s="927">
        <f ca="1">IF(T117=1,1,0)</f>
        <v>0</v>
      </c>
      <c r="S115" s="914" t="s">
        <v>2404</v>
      </c>
      <c r="T115" s="913">
        <f>IF(AND($T$3=1,RIGHT(S114,2)*1&lt;=$T$4),1,0)</f>
        <v>0</v>
      </c>
      <c r="U115" s="777"/>
      <c r="V115" s="300"/>
      <c r="W115" s="300"/>
      <c r="X115" s="300"/>
      <c r="Y115" s="300"/>
      <c r="Z115" s="300"/>
    </row>
    <row r="116" spans="2:26" ht="15" hidden="1" customHeight="1" x14ac:dyDescent="0.25">
      <c r="B116" s="17"/>
      <c r="C116" s="949"/>
      <c r="D116" s="1255"/>
      <c r="E116" s="1255"/>
      <c r="F116" s="1255"/>
      <c r="G116" s="1255"/>
      <c r="H116" s="1255"/>
      <c r="I116" s="1255"/>
      <c r="J116" s="1255"/>
      <c r="K116" s="1255"/>
      <c r="L116" s="1255"/>
      <c r="M116" s="1255"/>
      <c r="N116" s="1255"/>
      <c r="O116" s="1255"/>
      <c r="P116" s="60"/>
      <c r="Q116" s="17"/>
      <c r="R116" s="927">
        <f ca="1">IF(T117=1,1,0)</f>
        <v>0</v>
      </c>
      <c r="S116" s="914" t="s">
        <v>2405</v>
      </c>
      <c r="T116" s="913" t="str">
        <f>IF(T115=1,RIGHT(LEFT($T$11,RIGHT(S114,2)*3),3)*1,"-")</f>
        <v>-</v>
      </c>
      <c r="U116" s="777"/>
      <c r="V116" s="300"/>
      <c r="W116" s="300"/>
      <c r="X116" s="300"/>
      <c r="Y116" s="300"/>
      <c r="Z116" s="300"/>
    </row>
    <row r="117" spans="2:26" ht="15" hidden="1" customHeight="1" x14ac:dyDescent="0.25">
      <c r="B117" s="17"/>
      <c r="C117" s="949"/>
      <c r="D117" s="1255"/>
      <c r="E117" s="1255"/>
      <c r="F117" s="1255"/>
      <c r="G117" s="1255"/>
      <c r="H117" s="1255"/>
      <c r="I117" s="1255"/>
      <c r="J117" s="1255"/>
      <c r="K117" s="1255"/>
      <c r="L117" s="1255"/>
      <c r="M117" s="1255"/>
      <c r="N117" s="1255"/>
      <c r="O117" s="1255"/>
      <c r="P117" s="60"/>
      <c r="Q117" s="17"/>
      <c r="R117" s="927">
        <f ca="1">IF(T117=1,1,0)</f>
        <v>0</v>
      </c>
      <c r="S117" s="914" t="s">
        <v>2406</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2407</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2408</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2052</v>
      </c>
      <c r="O120" s="218" t="s">
        <v>2228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5" t="str" cm="1">
        <f t="array" aca="1" ref="D121" ca="1">IF(AND(T121=1,T123=1),INDIRECT("G"&amp;T122),"")</f>
        <v/>
      </c>
      <c r="E121" s="1255"/>
      <c r="F121" s="1255"/>
      <c r="G121" s="1255"/>
      <c r="H121" s="1255"/>
      <c r="I121" s="1255"/>
      <c r="J121" s="1255"/>
      <c r="K121" s="1255"/>
      <c r="L121" s="1255"/>
      <c r="M121" s="1255"/>
      <c r="N121" s="1255"/>
      <c r="O121" s="1255"/>
      <c r="P121" s="60"/>
      <c r="Q121" s="17"/>
      <c r="R121" s="927">
        <f ca="1">IF(T123=1,1,0)</f>
        <v>0</v>
      </c>
      <c r="S121" s="917" t="s">
        <v>2404</v>
      </c>
      <c r="T121" s="916">
        <f>IF(AND($T$3=1,RIGHT(S120,2)*1&lt;=$T$4),1,0)</f>
        <v>0</v>
      </c>
      <c r="U121" s="777"/>
      <c r="V121" s="300"/>
      <c r="W121" s="300"/>
      <c r="X121" s="300"/>
      <c r="Y121" s="300"/>
      <c r="Z121" s="300"/>
    </row>
    <row r="122" spans="2:26" ht="15" hidden="1" customHeight="1" x14ac:dyDescent="0.25">
      <c r="B122" s="17"/>
      <c r="C122" s="949"/>
      <c r="D122" s="1255"/>
      <c r="E122" s="1255"/>
      <c r="F122" s="1255"/>
      <c r="G122" s="1255"/>
      <c r="H122" s="1255"/>
      <c r="I122" s="1255"/>
      <c r="J122" s="1255"/>
      <c r="K122" s="1255"/>
      <c r="L122" s="1255"/>
      <c r="M122" s="1255"/>
      <c r="N122" s="1255"/>
      <c r="O122" s="1255"/>
      <c r="P122" s="60"/>
      <c r="Q122" s="17"/>
      <c r="R122" s="927">
        <f ca="1">IF(T123=1,1,0)</f>
        <v>0</v>
      </c>
      <c r="S122" s="917" t="s">
        <v>2405</v>
      </c>
      <c r="T122" s="916" t="str">
        <f>IF(T121=1,RIGHT(LEFT($T$11,RIGHT(S120,2)*3),3)*1,"-")</f>
        <v>-</v>
      </c>
      <c r="U122" s="777"/>
      <c r="V122" s="300"/>
      <c r="W122" s="300"/>
      <c r="X122" s="300"/>
      <c r="Y122" s="300"/>
      <c r="Z122" s="300"/>
    </row>
    <row r="123" spans="2:26" ht="15" hidden="1" customHeight="1" x14ac:dyDescent="0.25">
      <c r="B123" s="17"/>
      <c r="C123" s="949"/>
      <c r="D123" s="1255"/>
      <c r="E123" s="1255"/>
      <c r="F123" s="1255"/>
      <c r="G123" s="1255"/>
      <c r="H123" s="1255"/>
      <c r="I123" s="1255"/>
      <c r="J123" s="1255"/>
      <c r="K123" s="1255"/>
      <c r="L123" s="1255"/>
      <c r="M123" s="1255"/>
      <c r="N123" s="1255"/>
      <c r="O123" s="1255"/>
      <c r="P123" s="60"/>
      <c r="Q123" s="17"/>
      <c r="R123" s="927">
        <f ca="1">IF(T123=1,1,0)</f>
        <v>0</v>
      </c>
      <c r="S123" s="917" t="s">
        <v>2406</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2407</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2408</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3" t="s">
        <v>2409</v>
      </c>
      <c r="T127" s="1253"/>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2">
        <v>67</v>
      </c>
      <c r="T128" s="1252"/>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3" t="s">
        <v>2410</v>
      </c>
      <c r="T130" s="1253"/>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2">
        <f ca="1">SUM($R$3:$R$64,$R$66:$R$70,$R$72:$R$76,$R$78:$R$82,$R$84:$R$88,$R$90:$R$94,$R$96:$R$100,$R$102:$R$106,$R$108:$R$112,$R$114:$R$118,$R$120:$R$124,$R$188:$R$190)</f>
        <v>15</v>
      </c>
      <c r="T131" s="1252"/>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3" t="s">
        <v>2411</v>
      </c>
      <c r="T133" s="1253"/>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2">
        <f ca="1">IF($S$131&lt;=$S$128,1,2)</f>
        <v>1</v>
      </c>
      <c r="T134" s="1252"/>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3" t="s">
        <v>2412</v>
      </c>
      <c r="T136" s="1253"/>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2" t="str">
        <f ca="1">IF($S$134=2,IF($R$65=1,ROW($R$65),IF($R$71=1,ROW($R$71),IF($R$77=1,ROW($R$77),IF($R$83=1,ROW($R$83),IF($R$89=1,ROW($R$89),IF($R$95=1,ROW($R$95),IF($R$101=1,ROW($R$101),IF($R$107=1,ROW($R$107),IF($R$113=1,ROW($R$113),IF($R$119=1,ROW($R$119),"n.v.t.")))))))))),"n.v.t.")</f>
        <v>n.v.t.</v>
      </c>
      <c r="T137" s="1252"/>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3" t="s">
        <v>2413</v>
      </c>
      <c r="T139" s="1253"/>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2" t="str">
        <f ca="1">IF($S$134=1,"n.v.t.",COUNTIF(INDIRECT("$R$3:$R$"&amp;$S$137),1))</f>
        <v>n.v.t.</v>
      </c>
      <c r="T140" s="1252"/>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3" t="s">
        <v>2414</v>
      </c>
      <c r="T142" s="1253"/>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2" t="str">
        <f ca="1">IF($S$134=2,$S$140,"n.v.t.")</f>
        <v>n.v.t.</v>
      </c>
      <c r="T143" s="1252"/>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3" t="s">
        <v>2415</v>
      </c>
      <c r="T145" s="1253"/>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2">
        <f ca="1">IF($S$134=1,$S$128-$S$131,$S$140+$S$143-$S$131-2)</f>
        <v>52</v>
      </c>
      <c r="T146" s="1252"/>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7"/>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7"/>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8" t="str">
        <f>"01"</f>
        <v>01</v>
      </c>
      <c r="C201" s="1258"/>
      <c r="D201" s="10" t="s">
        <v>2327</v>
      </c>
      <c r="E201" s="877"/>
      <c r="F201" s="10" t="s">
        <v>1884</v>
      </c>
      <c r="G201" s="877"/>
      <c r="H201" s="10" t="s">
        <v>533</v>
      </c>
      <c r="I201" s="739" t="s">
        <v>2416</v>
      </c>
      <c r="J201" s="878">
        <v>0</v>
      </c>
      <c r="K201" s="68" t="s">
        <v>2417</v>
      </c>
      <c r="L201" s="10" t="str">
        <f>IF(J201=1,RIGHT("000"&amp;ROW(),3),"999")</f>
        <v>999</v>
      </c>
      <c r="M201" s="10">
        <f>BIN2DEC(10000000)*100000</f>
        <v>12800000</v>
      </c>
      <c r="O201" s="918">
        <f ca="1">T19</f>
        <v>0</v>
      </c>
      <c r="P201" s="32"/>
      <c r="Q201" s="32"/>
      <c r="R201" s="930"/>
      <c r="S201" s="32"/>
      <c r="T201" s="32"/>
    </row>
    <row r="202" spans="2:20" ht="15" hidden="1" customHeight="1" x14ac:dyDescent="0.25">
      <c r="B202" s="1258" t="str">
        <f>RIGHT("00"&amp;B201*1+1,2)</f>
        <v>02</v>
      </c>
      <c r="C202" s="1258"/>
      <c r="D202" s="10" t="s">
        <v>2327</v>
      </c>
      <c r="E202" s="877"/>
      <c r="F202" s="10" t="s">
        <v>1884</v>
      </c>
      <c r="G202" s="877"/>
      <c r="H202" s="10" t="s">
        <v>533</v>
      </c>
      <c r="I202" s="739" t="s">
        <v>2416</v>
      </c>
      <c r="J202" s="878">
        <v>0</v>
      </c>
      <c r="K202" s="68" t="s">
        <v>2417</v>
      </c>
      <c r="L202" s="10" t="str">
        <f t="shared" ref="L202:L220" si="0">IF(J202=1,RIGHT("000"&amp;ROW(),3),"999")</f>
        <v>999</v>
      </c>
      <c r="M202" s="10">
        <f>BIN2DEC(1000000)*100000</f>
        <v>6400000</v>
      </c>
      <c r="O202" s="918">
        <f ca="1">T24</f>
        <v>0</v>
      </c>
      <c r="P202" s="32"/>
      <c r="Q202" s="919" t="s">
        <v>2418</v>
      </c>
      <c r="R202" s="930"/>
      <c r="S202" s="32"/>
      <c r="T202" s="32"/>
    </row>
    <row r="203" spans="2:20" hidden="1" x14ac:dyDescent="0.25">
      <c r="B203" s="1258" t="str">
        <f t="shared" ref="B203:B220" si="1">RIGHT("00"&amp;B202*1+1,2)</f>
        <v>03</v>
      </c>
      <c r="C203" s="1258"/>
      <c r="D203" s="10" t="s">
        <v>2327</v>
      </c>
      <c r="E203" s="877"/>
      <c r="F203" s="10" t="s">
        <v>1884</v>
      </c>
      <c r="G203" s="877"/>
      <c r="H203" s="10" t="s">
        <v>533</v>
      </c>
      <c r="I203" s="739" t="s">
        <v>2416</v>
      </c>
      <c r="J203" s="878">
        <v>0</v>
      </c>
      <c r="K203" s="68" t="s">
        <v>2417</v>
      </c>
      <c r="L203" s="10" t="str">
        <f t="shared" si="0"/>
        <v>999</v>
      </c>
      <c r="M203" s="10">
        <f>BIN2DEC(100000)*100000</f>
        <v>3200000</v>
      </c>
      <c r="O203" s="918">
        <f ca="1">T29</f>
        <v>0</v>
      </c>
      <c r="P203" s="32"/>
      <c r="Q203" s="1259" t="str">
        <f>IF(T3=1,COUNTIF(O201:O220,"&gt;0"),"-")</f>
        <v>-</v>
      </c>
      <c r="R203" s="1259"/>
      <c r="S203" s="1259"/>
      <c r="T203" s="32"/>
    </row>
    <row r="204" spans="2:20" hidden="1" x14ac:dyDescent="0.25">
      <c r="B204" s="1258" t="str">
        <f t="shared" si="1"/>
        <v>04</v>
      </c>
      <c r="C204" s="1258"/>
      <c r="D204" s="10" t="s">
        <v>2327</v>
      </c>
      <c r="E204" s="877"/>
      <c r="F204" s="10" t="s">
        <v>1884</v>
      </c>
      <c r="G204" s="877"/>
      <c r="H204" s="10" t="s">
        <v>533</v>
      </c>
      <c r="I204" s="739" t="s">
        <v>2416</v>
      </c>
      <c r="J204" s="878">
        <v>0</v>
      </c>
      <c r="K204" s="68" t="s">
        <v>2417</v>
      </c>
      <c r="L204" s="10" t="str">
        <f t="shared" si="0"/>
        <v>999</v>
      </c>
      <c r="M204" s="10">
        <f>BIN2DEC(10000)*100000</f>
        <v>1600000</v>
      </c>
      <c r="O204" s="918">
        <f ca="1">T34</f>
        <v>0</v>
      </c>
      <c r="P204" s="32"/>
      <c r="Q204" s="32"/>
      <c r="R204" s="930"/>
      <c r="S204" s="32"/>
      <c r="T204" s="32"/>
    </row>
    <row r="205" spans="2:20" hidden="1" x14ac:dyDescent="0.25">
      <c r="B205" s="1258" t="str">
        <f t="shared" si="1"/>
        <v>05</v>
      </c>
      <c r="C205" s="1258"/>
      <c r="D205" s="10" t="s">
        <v>2327</v>
      </c>
      <c r="E205" s="877"/>
      <c r="F205" s="10" t="s">
        <v>1884</v>
      </c>
      <c r="G205" s="877"/>
      <c r="H205" s="10" t="s">
        <v>533</v>
      </c>
      <c r="I205" s="739" t="s">
        <v>2416</v>
      </c>
      <c r="J205" s="878">
        <v>0</v>
      </c>
      <c r="K205" s="68" t="s">
        <v>2417</v>
      </c>
      <c r="L205" s="10" t="str">
        <f t="shared" si="0"/>
        <v>999</v>
      </c>
      <c r="M205" s="10">
        <f>BIN2DEC(1000)*100000</f>
        <v>800000</v>
      </c>
      <c r="O205" s="918">
        <f ca="1">T39</f>
        <v>0</v>
      </c>
      <c r="P205" s="32"/>
      <c r="Q205" s="919" t="s">
        <v>2419</v>
      </c>
      <c r="R205" s="930"/>
      <c r="S205" s="32"/>
      <c r="T205" s="32"/>
    </row>
    <row r="206" spans="2:20" hidden="1" x14ac:dyDescent="0.25">
      <c r="B206" s="1258" t="str">
        <f t="shared" si="1"/>
        <v>06</v>
      </c>
      <c r="C206" s="1258"/>
      <c r="D206" s="10" t="s">
        <v>2327</v>
      </c>
      <c r="E206" s="877"/>
      <c r="F206" s="10" t="s">
        <v>1884</v>
      </c>
      <c r="G206" s="877"/>
      <c r="H206" s="10" t="s">
        <v>533</v>
      </c>
      <c r="I206" s="739" t="s">
        <v>2416</v>
      </c>
      <c r="J206" s="878">
        <v>0</v>
      </c>
      <c r="K206" s="68" t="s">
        <v>2417</v>
      </c>
      <c r="L206" s="10" t="str">
        <f t="shared" si="0"/>
        <v>999</v>
      </c>
      <c r="M206" s="10">
        <f>BIN2DEC(100)*100000</f>
        <v>400000</v>
      </c>
      <c r="O206" s="918">
        <f ca="1">T44</f>
        <v>0</v>
      </c>
      <c r="P206" s="32"/>
      <c r="Q206" s="1259" t="str">
        <f>IF(T3=1,T5,"-")</f>
        <v>-</v>
      </c>
      <c r="R206" s="1259"/>
      <c r="S206" s="1259"/>
      <c r="T206" s="32"/>
    </row>
    <row r="207" spans="2:20" ht="15" hidden="1" customHeight="1" x14ac:dyDescent="0.25">
      <c r="B207" s="1258" t="str">
        <f t="shared" si="1"/>
        <v>07</v>
      </c>
      <c r="C207" s="1258"/>
      <c r="D207" s="10" t="s">
        <v>2327</v>
      </c>
      <c r="E207" s="877"/>
      <c r="F207" s="10" t="s">
        <v>1884</v>
      </c>
      <c r="G207" s="877"/>
      <c r="H207" s="10" t="s">
        <v>533</v>
      </c>
      <c r="I207" s="739" t="s">
        <v>2416</v>
      </c>
      <c r="J207" s="878">
        <v>0</v>
      </c>
      <c r="K207" s="68" t="s">
        <v>2417</v>
      </c>
      <c r="L207" s="10" t="str">
        <f t="shared" si="0"/>
        <v>999</v>
      </c>
      <c r="M207" s="10">
        <f>BIN2DEC(10)*100000</f>
        <v>200000</v>
      </c>
      <c r="O207" s="918">
        <f ca="1">T49</f>
        <v>0</v>
      </c>
      <c r="P207" s="32"/>
      <c r="Q207" s="32"/>
      <c r="R207" s="930"/>
      <c r="S207" s="32"/>
      <c r="T207" s="32"/>
    </row>
    <row r="208" spans="2:20" ht="15" hidden="1" customHeight="1" x14ac:dyDescent="0.25">
      <c r="B208" s="1258" t="str">
        <f t="shared" si="1"/>
        <v>08</v>
      </c>
      <c r="C208" s="1258"/>
      <c r="D208" s="10" t="s">
        <v>2327</v>
      </c>
      <c r="E208" s="877"/>
      <c r="F208" s="10" t="s">
        <v>1884</v>
      </c>
      <c r="G208" s="877"/>
      <c r="H208" s="10" t="s">
        <v>533</v>
      </c>
      <c r="I208" s="739" t="s">
        <v>2416</v>
      </c>
      <c r="J208" s="878">
        <v>0</v>
      </c>
      <c r="K208" s="68" t="s">
        <v>2417</v>
      </c>
      <c r="L208" s="10" t="str">
        <f t="shared" si="0"/>
        <v>999</v>
      </c>
      <c r="M208" s="10">
        <f>BIN2DEC(1)*100000</f>
        <v>100000</v>
      </c>
      <c r="O208" s="918">
        <f ca="1">T54</f>
        <v>0</v>
      </c>
      <c r="P208" s="32"/>
      <c r="Q208" s="919" t="s">
        <v>2420</v>
      </c>
      <c r="R208" s="930"/>
      <c r="S208" s="32"/>
      <c r="T208" s="32"/>
    </row>
    <row r="209" spans="2:20" ht="15" hidden="1" customHeight="1" x14ac:dyDescent="0.25">
      <c r="B209" s="1258" t="str">
        <f t="shared" si="1"/>
        <v>09</v>
      </c>
      <c r="C209" s="1258"/>
      <c r="D209" s="10" t="s">
        <v>2327</v>
      </c>
      <c r="E209" s="877"/>
      <c r="F209" s="10" t="s">
        <v>1884</v>
      </c>
      <c r="G209" s="877"/>
      <c r="H209" s="10" t="s">
        <v>533</v>
      </c>
      <c r="I209" s="739" t="s">
        <v>2416</v>
      </c>
      <c r="J209" s="878">
        <v>0</v>
      </c>
      <c r="K209" s="68" t="s">
        <v>2417</v>
      </c>
      <c r="L209" s="10" t="str">
        <f t="shared" si="0"/>
        <v>999</v>
      </c>
      <c r="M209" s="10">
        <f>BIN2DEC(10000000)*100</f>
        <v>12800</v>
      </c>
      <c r="O209" s="918">
        <f ca="1">T59</f>
        <v>0</v>
      </c>
      <c r="P209" s="32"/>
      <c r="Q209" s="1259" t="str">
        <f>IF(T3=1,IF(T6=0,99,T6),"-")</f>
        <v>-</v>
      </c>
      <c r="R209" s="1259"/>
      <c r="S209" s="1259"/>
      <c r="T209" s="32"/>
    </row>
    <row r="210" spans="2:20" hidden="1" x14ac:dyDescent="0.25">
      <c r="B210" s="1258" t="str">
        <f t="shared" si="1"/>
        <v>10</v>
      </c>
      <c r="C210" s="1258"/>
      <c r="D210" s="10" t="s">
        <v>2327</v>
      </c>
      <c r="E210" s="877"/>
      <c r="F210" s="10" t="s">
        <v>1884</v>
      </c>
      <c r="G210" s="877"/>
      <c r="H210" s="10" t="s">
        <v>533</v>
      </c>
      <c r="I210" s="739" t="s">
        <v>2416</v>
      </c>
      <c r="J210" s="878">
        <v>0</v>
      </c>
      <c r="K210" s="68" t="s">
        <v>2417</v>
      </c>
      <c r="L210" s="10" t="str">
        <f t="shared" si="0"/>
        <v>999</v>
      </c>
      <c r="M210" s="10">
        <f>BIN2DEC(1000000)*100</f>
        <v>6400</v>
      </c>
      <c r="O210" s="918">
        <f ca="1">T64</f>
        <v>0</v>
      </c>
      <c r="P210" s="32"/>
      <c r="Q210" s="32"/>
      <c r="R210" s="930"/>
      <c r="S210" s="32"/>
      <c r="T210" s="32"/>
    </row>
    <row r="211" spans="2:20" hidden="1" x14ac:dyDescent="0.25">
      <c r="B211" s="1258" t="str">
        <f t="shared" si="1"/>
        <v>11</v>
      </c>
      <c r="C211" s="1258"/>
      <c r="D211" s="10" t="s">
        <v>2327</v>
      </c>
      <c r="E211" s="877"/>
      <c r="F211" s="10" t="s">
        <v>1884</v>
      </c>
      <c r="G211" s="877"/>
      <c r="H211" s="10" t="s">
        <v>533</v>
      </c>
      <c r="I211" s="739" t="s">
        <v>2416</v>
      </c>
      <c r="J211" s="878">
        <v>0</v>
      </c>
      <c r="K211" s="68" t="s">
        <v>2417</v>
      </c>
      <c r="L211" s="10" t="str">
        <f t="shared" si="0"/>
        <v>999</v>
      </c>
      <c r="M211" s="10">
        <f>BIN2DEC(100000)*100</f>
        <v>3200</v>
      </c>
      <c r="O211" s="918">
        <f ca="1">T70</f>
        <v>0</v>
      </c>
      <c r="P211" s="32"/>
      <c r="Q211" s="919" t="s">
        <v>2421</v>
      </c>
      <c r="R211" s="930"/>
      <c r="S211" s="32"/>
      <c r="T211" s="32"/>
    </row>
    <row r="212" spans="2:20" hidden="1" x14ac:dyDescent="0.25">
      <c r="B212" s="1258" t="str">
        <f t="shared" si="1"/>
        <v>12</v>
      </c>
      <c r="C212" s="1258"/>
      <c r="D212" s="10" t="s">
        <v>2327</v>
      </c>
      <c r="E212" s="877"/>
      <c r="F212" s="10" t="s">
        <v>1884</v>
      </c>
      <c r="G212" s="877"/>
      <c r="H212" s="10" t="s">
        <v>533</v>
      </c>
      <c r="I212" s="739" t="s">
        <v>2416</v>
      </c>
      <c r="J212" s="878">
        <v>0</v>
      </c>
      <c r="K212" s="68" t="s">
        <v>2417</v>
      </c>
      <c r="L212" s="10" t="str">
        <f t="shared" si="0"/>
        <v>999</v>
      </c>
      <c r="M212" s="10">
        <f>BIN2DEC(10000)*100</f>
        <v>1600</v>
      </c>
      <c r="O212" s="918">
        <f ca="1">T76</f>
        <v>0</v>
      </c>
      <c r="P212" s="32"/>
      <c r="Q212" s="1259" t="str">
        <f>IF(T3=1,IF(AND(Q203&gt;=Q206,Q203&lt;=Q209),1,IF(Q203&gt;Q209,3,2)),"-")</f>
        <v>-</v>
      </c>
      <c r="R212" s="1259"/>
      <c r="S212" s="1259"/>
      <c r="T212" s="32"/>
    </row>
    <row r="213" spans="2:20" hidden="1" x14ac:dyDescent="0.25">
      <c r="B213" s="1258" t="str">
        <f t="shared" si="1"/>
        <v>13</v>
      </c>
      <c r="C213" s="1258"/>
      <c r="D213" s="10" t="s">
        <v>2327</v>
      </c>
      <c r="E213" s="877"/>
      <c r="F213" s="10" t="s">
        <v>1884</v>
      </c>
      <c r="G213" s="877"/>
      <c r="H213" s="10" t="s">
        <v>533</v>
      </c>
      <c r="I213" s="739" t="s">
        <v>2416</v>
      </c>
      <c r="J213" s="878">
        <v>0</v>
      </c>
      <c r="K213" s="68" t="s">
        <v>2417</v>
      </c>
      <c r="L213" s="10" t="str">
        <f t="shared" si="0"/>
        <v>999</v>
      </c>
      <c r="M213" s="10">
        <f>BIN2DEC(1000)*100</f>
        <v>800</v>
      </c>
      <c r="O213" s="918">
        <f ca="1">T82</f>
        <v>0</v>
      </c>
      <c r="P213" s="32"/>
      <c r="Q213" s="32"/>
      <c r="R213" s="930"/>
      <c r="S213" s="32"/>
      <c r="T213" s="32"/>
    </row>
    <row r="214" spans="2:20" hidden="1" x14ac:dyDescent="0.25">
      <c r="B214" s="1258" t="str">
        <f t="shared" si="1"/>
        <v>14</v>
      </c>
      <c r="C214" s="1258"/>
      <c r="D214" s="10" t="s">
        <v>2327</v>
      </c>
      <c r="E214" s="877"/>
      <c r="F214" s="10" t="s">
        <v>1884</v>
      </c>
      <c r="G214" s="877"/>
      <c r="H214" s="10" t="s">
        <v>533</v>
      </c>
      <c r="I214" s="739" t="s">
        <v>2416</v>
      </c>
      <c r="J214" s="878">
        <v>0</v>
      </c>
      <c r="K214" s="68" t="s">
        <v>2417</v>
      </c>
      <c r="L214" s="10" t="str">
        <f t="shared" si="0"/>
        <v>999</v>
      </c>
      <c r="M214" s="10">
        <f>BIN2DEC(100)*100</f>
        <v>400</v>
      </c>
      <c r="O214" s="918">
        <f ca="1">T88</f>
        <v>0</v>
      </c>
      <c r="P214" s="32"/>
      <c r="Q214" s="919" t="s">
        <v>2393</v>
      </c>
      <c r="R214" s="930"/>
      <c r="S214" s="32"/>
      <c r="T214" s="32"/>
    </row>
    <row r="215" spans="2:20" hidden="1" x14ac:dyDescent="0.25">
      <c r="B215" s="1258" t="str">
        <f t="shared" si="1"/>
        <v>15</v>
      </c>
      <c r="C215" s="1258"/>
      <c r="D215" s="10" t="s">
        <v>2327</v>
      </c>
      <c r="E215" s="877"/>
      <c r="F215" s="10" t="s">
        <v>1884</v>
      </c>
      <c r="G215" s="877"/>
      <c r="H215" s="10" t="s">
        <v>533</v>
      </c>
      <c r="I215" s="739" t="s">
        <v>2416</v>
      </c>
      <c r="J215" s="878">
        <v>0</v>
      </c>
      <c r="K215" s="68" t="s">
        <v>2417</v>
      </c>
      <c r="L215" s="10" t="str">
        <f t="shared" si="0"/>
        <v>999</v>
      </c>
      <c r="M215" s="10">
        <f>BIN2DEC(10)*100</f>
        <v>200</v>
      </c>
      <c r="O215" s="918">
        <f ca="1">T94</f>
        <v>0</v>
      </c>
      <c r="P215" s="32"/>
      <c r="Q215" s="1259" t="str">
        <f>IF(AND(T3=1,Q212=1),"&lt;"&amp;RIGHT("00000000"&amp;SUM(O201:O220),8)&amp;"&gt;","-")</f>
        <v>-</v>
      </c>
      <c r="R215" s="1259"/>
      <c r="S215" s="1259"/>
      <c r="T215" s="32"/>
    </row>
    <row r="216" spans="2:20" hidden="1" x14ac:dyDescent="0.25">
      <c r="B216" s="1258" t="str">
        <f t="shared" si="1"/>
        <v>16</v>
      </c>
      <c r="C216" s="1258"/>
      <c r="D216" s="10" t="s">
        <v>2327</v>
      </c>
      <c r="E216" s="877"/>
      <c r="F216" s="10" t="s">
        <v>1884</v>
      </c>
      <c r="G216" s="877"/>
      <c r="H216" s="10" t="s">
        <v>533</v>
      </c>
      <c r="I216" s="739" t="s">
        <v>2416</v>
      </c>
      <c r="J216" s="878">
        <v>0</v>
      </c>
      <c r="K216" s="68" t="s">
        <v>2417</v>
      </c>
      <c r="L216" s="10" t="str">
        <f t="shared" si="0"/>
        <v>999</v>
      </c>
      <c r="M216" s="10">
        <f>BIN2DEC(1)*100</f>
        <v>100</v>
      </c>
      <c r="O216" s="918">
        <f ca="1">T100</f>
        <v>0</v>
      </c>
      <c r="P216" s="32"/>
      <c r="Q216" s="32"/>
      <c r="R216" s="930"/>
      <c r="S216" s="32"/>
      <c r="T216" s="32"/>
    </row>
    <row r="217" spans="2:20" hidden="1" x14ac:dyDescent="0.25">
      <c r="B217" s="1258" t="str">
        <f t="shared" si="1"/>
        <v>17</v>
      </c>
      <c r="C217" s="1258"/>
      <c r="D217" s="10" t="s">
        <v>2327</v>
      </c>
      <c r="E217" s="877"/>
      <c r="F217" s="10" t="s">
        <v>1884</v>
      </c>
      <c r="G217" s="877"/>
      <c r="H217" s="10" t="s">
        <v>533</v>
      </c>
      <c r="I217" s="739" t="s">
        <v>2416</v>
      </c>
      <c r="J217" s="878">
        <v>0</v>
      </c>
      <c r="K217" s="68" t="s">
        <v>2417</v>
      </c>
      <c r="L217" s="10" t="str">
        <f t="shared" si="0"/>
        <v>999</v>
      </c>
      <c r="M217" s="10">
        <f>BIN2DEC(1000)*1</f>
        <v>8</v>
      </c>
      <c r="O217" s="918">
        <f ca="1">T106</f>
        <v>0</v>
      </c>
      <c r="P217" s="32"/>
      <c r="Q217" s="32"/>
      <c r="R217" s="930"/>
      <c r="S217" s="32"/>
      <c r="T217" s="32"/>
    </row>
    <row r="218" spans="2:20" hidden="1" x14ac:dyDescent="0.25">
      <c r="B218" s="1258" t="str">
        <f t="shared" si="1"/>
        <v>18</v>
      </c>
      <c r="C218" s="1258"/>
      <c r="D218" s="10" t="s">
        <v>2327</v>
      </c>
      <c r="E218" s="877"/>
      <c r="F218" s="10" t="s">
        <v>1884</v>
      </c>
      <c r="G218" s="877"/>
      <c r="H218" s="10" t="s">
        <v>533</v>
      </c>
      <c r="I218" s="739" t="s">
        <v>2416</v>
      </c>
      <c r="J218" s="878">
        <v>0</v>
      </c>
      <c r="K218" s="68" t="s">
        <v>2417</v>
      </c>
      <c r="L218" s="10" t="str">
        <f t="shared" si="0"/>
        <v>999</v>
      </c>
      <c r="M218" s="10">
        <f>BIN2DEC(100)*1</f>
        <v>4</v>
      </c>
      <c r="O218" s="918">
        <f ca="1">T112</f>
        <v>0</v>
      </c>
      <c r="P218" s="32"/>
      <c r="Q218" s="32"/>
      <c r="R218" s="930"/>
      <c r="S218" s="32"/>
      <c r="T218" s="32"/>
    </row>
    <row r="219" spans="2:20" hidden="1" x14ac:dyDescent="0.25">
      <c r="B219" s="1258" t="str">
        <f t="shared" si="1"/>
        <v>19</v>
      </c>
      <c r="C219" s="1258"/>
      <c r="D219" s="10" t="s">
        <v>2327</v>
      </c>
      <c r="E219" s="877"/>
      <c r="F219" s="10" t="s">
        <v>1884</v>
      </c>
      <c r="G219" s="877"/>
      <c r="H219" s="10" t="s">
        <v>533</v>
      </c>
      <c r="I219" s="739" t="s">
        <v>2416</v>
      </c>
      <c r="J219" s="878">
        <v>0</v>
      </c>
      <c r="K219" s="68" t="s">
        <v>2417</v>
      </c>
      <c r="L219" s="10" t="str">
        <f t="shared" si="0"/>
        <v>999</v>
      </c>
      <c r="M219" s="10">
        <f>BIN2DEC(10)*1</f>
        <v>2</v>
      </c>
      <c r="O219" s="918">
        <f ca="1">T118</f>
        <v>0</v>
      </c>
      <c r="P219" s="32"/>
      <c r="Q219" s="32"/>
      <c r="R219" s="930"/>
      <c r="S219" s="32"/>
      <c r="T219" s="32"/>
    </row>
    <row r="220" spans="2:20" hidden="1" x14ac:dyDescent="0.25">
      <c r="B220" s="1258" t="str">
        <f t="shared" si="1"/>
        <v>20</v>
      </c>
      <c r="C220" s="1258"/>
      <c r="D220" s="10" t="s">
        <v>2327</v>
      </c>
      <c r="E220" s="877"/>
      <c r="F220" s="10" t="s">
        <v>1884</v>
      </c>
      <c r="G220" s="877"/>
      <c r="H220" s="10" t="s">
        <v>533</v>
      </c>
      <c r="I220" s="739" t="s">
        <v>2416</v>
      </c>
      <c r="J220" s="878">
        <v>0</v>
      </c>
      <c r="K220" s="68" t="s">
        <v>2417</v>
      </c>
      <c r="L220" s="10" t="str">
        <f t="shared" si="0"/>
        <v>999</v>
      </c>
      <c r="M220" s="10">
        <f>BIN2DEC(1)*1</f>
        <v>1</v>
      </c>
      <c r="O220" s="918">
        <f ca="1">T124</f>
        <v>0</v>
      </c>
      <c r="P220" s="32"/>
      <c r="Q220" s="32"/>
      <c r="R220" s="930"/>
      <c r="S220" s="32"/>
      <c r="T220" s="32"/>
    </row>
    <row r="221" spans="2:20" x14ac:dyDescent="0.25">
      <c r="H221" s="44" t="s">
        <v>533</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64" t="str">
        <f ca="1">Taal04!$B$159</f>
        <v>De Deelnamecode</v>
      </c>
      <c r="E3" s="1264"/>
      <c r="F3" s="1264"/>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069"/>
      <c r="E6" s="1069"/>
      <c r="F6" s="1069"/>
      <c r="G6" s="1069"/>
      <c r="H6" s="1069"/>
      <c r="I6" s="1069"/>
      <c r="J6" s="1069"/>
      <c r="K6" s="1069"/>
      <c r="L6" s="1069"/>
      <c r="M6" s="1069"/>
      <c r="N6" s="1069"/>
      <c r="O6" s="1069"/>
      <c r="P6" s="948"/>
      <c r="Q6" s="17"/>
      <c r="R6" s="72"/>
      <c r="S6" s="44"/>
    </row>
    <row r="7" spans="1:24" ht="15" customHeight="1" x14ac:dyDescent="0.25">
      <c r="B7" s="17"/>
      <c r="C7" s="949"/>
      <c r="D7" s="1260" t="str">
        <f t="shared" ref="D7:D29" ca="1" si="0">VLOOKUP(R7,$B$63:$D$116,3)</f>
        <v>LEGE REGEL</v>
      </c>
      <c r="E7" s="1260"/>
      <c r="F7" s="1260"/>
      <c r="G7" s="1260"/>
      <c r="H7" s="1260"/>
      <c r="I7" s="1260"/>
      <c r="J7" s="1260"/>
      <c r="K7" s="1260"/>
      <c r="L7" s="1260"/>
      <c r="M7" s="1260"/>
      <c r="N7" s="1260"/>
      <c r="O7" s="1260"/>
      <c r="P7" s="1261"/>
      <c r="Q7" s="17"/>
      <c r="R7" s="301">
        <f t="shared" ref="R7:R33" ca="1" si="1">IF($P$123=27,MID($S$123,(ROW()-7)*3+1,3)/10,99.9)</f>
        <v>99.9</v>
      </c>
      <c r="S7" s="44"/>
    </row>
    <row r="8" spans="1:24" ht="15" customHeight="1" x14ac:dyDescent="0.25">
      <c r="B8" s="17"/>
      <c r="C8" s="949"/>
      <c r="D8" s="1260" t="str">
        <f t="shared" ca="1" si="0"/>
        <v>LEGE REGEL</v>
      </c>
      <c r="E8" s="1260"/>
      <c r="F8" s="1260"/>
      <c r="G8" s="1260"/>
      <c r="H8" s="1260"/>
      <c r="I8" s="1260"/>
      <c r="J8" s="1260"/>
      <c r="K8" s="1260"/>
      <c r="L8" s="1260"/>
      <c r="M8" s="1260"/>
      <c r="N8" s="1260"/>
      <c r="O8" s="1260"/>
      <c r="P8" s="1261"/>
      <c r="Q8" s="17"/>
      <c r="R8" s="301">
        <f t="shared" ca="1" si="1"/>
        <v>99.9</v>
      </c>
      <c r="S8" s="44"/>
    </row>
    <row r="9" spans="1:24" ht="15" customHeight="1" x14ac:dyDescent="0.25">
      <c r="B9" s="17"/>
      <c r="C9" s="949"/>
      <c r="D9" s="1260" t="str">
        <f t="shared" ca="1" si="0"/>
        <v>LEGE REGEL</v>
      </c>
      <c r="E9" s="1260"/>
      <c r="F9" s="1260"/>
      <c r="G9" s="1260"/>
      <c r="H9" s="1260"/>
      <c r="I9" s="1260"/>
      <c r="J9" s="1260"/>
      <c r="K9" s="1260"/>
      <c r="L9" s="1260"/>
      <c r="M9" s="1260"/>
      <c r="N9" s="1260"/>
      <c r="O9" s="1260"/>
      <c r="P9" s="1261"/>
      <c r="Q9" s="17"/>
      <c r="R9" s="301">
        <f t="shared" ca="1" si="1"/>
        <v>99.9</v>
      </c>
      <c r="S9" s="44"/>
    </row>
    <row r="10" spans="1:24" ht="15" customHeight="1" x14ac:dyDescent="0.25">
      <c r="B10" s="17"/>
      <c r="C10" s="949"/>
      <c r="D10" s="1260" t="str">
        <f t="shared" ca="1" si="0"/>
        <v>LEGE REGEL</v>
      </c>
      <c r="E10" s="1260"/>
      <c r="F10" s="1260"/>
      <c r="G10" s="1260"/>
      <c r="H10" s="1260"/>
      <c r="I10" s="1260"/>
      <c r="J10" s="1260"/>
      <c r="K10" s="1260"/>
      <c r="L10" s="1260"/>
      <c r="M10" s="1260"/>
      <c r="N10" s="1260"/>
      <c r="O10" s="1260"/>
      <c r="P10" s="1261"/>
      <c r="Q10" s="17"/>
      <c r="R10" s="301">
        <f t="shared" ca="1" si="1"/>
        <v>99.9</v>
      </c>
      <c r="S10" s="44"/>
    </row>
    <row r="11" spans="1:24" ht="15" customHeight="1" x14ac:dyDescent="0.25">
      <c r="B11" s="17"/>
      <c r="C11" s="949"/>
      <c r="D11" s="1260" t="str">
        <f t="shared" ca="1" si="0"/>
        <v>LEGE REGEL</v>
      </c>
      <c r="E11" s="1260"/>
      <c r="F11" s="1260"/>
      <c r="G11" s="1260"/>
      <c r="H11" s="1260"/>
      <c r="I11" s="1260"/>
      <c r="J11" s="1260"/>
      <c r="K11" s="1260"/>
      <c r="L11" s="1260"/>
      <c r="M11" s="1260"/>
      <c r="N11" s="1260"/>
      <c r="O11" s="1260"/>
      <c r="P11" s="1261"/>
      <c r="Q11" s="17"/>
      <c r="R11" s="301">
        <f t="shared" ca="1" si="1"/>
        <v>99.9</v>
      </c>
      <c r="S11" s="44"/>
    </row>
    <row r="12" spans="1:24" ht="15" customHeight="1" x14ac:dyDescent="0.25">
      <c r="B12" s="17"/>
      <c r="C12" s="949"/>
      <c r="D12" s="1260" t="str">
        <f t="shared" ca="1" si="0"/>
        <v>LEGE REGEL</v>
      </c>
      <c r="E12" s="1260"/>
      <c r="F12" s="1260"/>
      <c r="G12" s="1260"/>
      <c r="H12" s="1260"/>
      <c r="I12" s="1260"/>
      <c r="J12" s="1260"/>
      <c r="K12" s="1260"/>
      <c r="L12" s="1260"/>
      <c r="M12" s="1260"/>
      <c r="N12" s="1260"/>
      <c r="O12" s="1260"/>
      <c r="P12" s="1261"/>
      <c r="Q12" s="17"/>
      <c r="R12" s="301">
        <f t="shared" ca="1" si="1"/>
        <v>99.9</v>
      </c>
      <c r="S12" s="44"/>
    </row>
    <row r="13" spans="1:24" ht="15" customHeight="1" x14ac:dyDescent="0.25">
      <c r="B13" s="17"/>
      <c r="C13" s="949"/>
      <c r="D13" s="1260" t="str">
        <f t="shared" ca="1" si="0"/>
        <v>LEGE REGEL</v>
      </c>
      <c r="E13" s="1260"/>
      <c r="F13" s="1260"/>
      <c r="G13" s="1260"/>
      <c r="H13" s="1260"/>
      <c r="I13" s="1260"/>
      <c r="J13" s="1260"/>
      <c r="K13" s="1260"/>
      <c r="L13" s="1260"/>
      <c r="M13" s="1260"/>
      <c r="N13" s="1260"/>
      <c r="O13" s="1260"/>
      <c r="P13" s="1261"/>
      <c r="Q13" s="17"/>
      <c r="R13" s="301">
        <f t="shared" ca="1" si="1"/>
        <v>99.9</v>
      </c>
      <c r="S13" s="44"/>
    </row>
    <row r="14" spans="1:24" ht="15" customHeight="1" x14ac:dyDescent="0.25">
      <c r="B14" s="17"/>
      <c r="C14" s="949"/>
      <c r="D14" s="1260" t="str">
        <f t="shared" ca="1" si="0"/>
        <v>LEGE REGEL</v>
      </c>
      <c r="E14" s="1260"/>
      <c r="F14" s="1260"/>
      <c r="G14" s="1260"/>
      <c r="H14" s="1260"/>
      <c r="I14" s="1260"/>
      <c r="J14" s="1260"/>
      <c r="K14" s="1260"/>
      <c r="L14" s="1260"/>
      <c r="M14" s="1260"/>
      <c r="N14" s="1260"/>
      <c r="O14" s="1260"/>
      <c r="P14" s="1261"/>
      <c r="Q14" s="17"/>
      <c r="R14" s="301">
        <f t="shared" ca="1" si="1"/>
        <v>99.9</v>
      </c>
      <c r="S14" s="44"/>
    </row>
    <row r="15" spans="1:24" ht="15" customHeight="1" x14ac:dyDescent="0.25">
      <c r="B15" s="17"/>
      <c r="C15" s="949"/>
      <c r="D15" s="1260" t="str">
        <f t="shared" ca="1" si="0"/>
        <v>LEGE REGEL</v>
      </c>
      <c r="E15" s="1260"/>
      <c r="F15" s="1260"/>
      <c r="G15" s="1260"/>
      <c r="H15" s="1260"/>
      <c r="I15" s="1260"/>
      <c r="J15" s="1260"/>
      <c r="K15" s="1260"/>
      <c r="L15" s="1260"/>
      <c r="M15" s="1260"/>
      <c r="N15" s="1260"/>
      <c r="O15" s="1260"/>
      <c r="P15" s="1261"/>
      <c r="Q15" s="17"/>
      <c r="R15" s="301">
        <f t="shared" ca="1" si="1"/>
        <v>99.9</v>
      </c>
      <c r="S15" s="44"/>
    </row>
    <row r="16" spans="1:24" ht="15" customHeight="1" x14ac:dyDescent="0.25">
      <c r="B16" s="17"/>
      <c r="C16" s="949"/>
      <c r="D16" s="1260" t="str">
        <f t="shared" ca="1" si="0"/>
        <v>LEGE REGEL</v>
      </c>
      <c r="E16" s="1260"/>
      <c r="F16" s="1260"/>
      <c r="G16" s="1260"/>
      <c r="H16" s="1260"/>
      <c r="I16" s="1260"/>
      <c r="J16" s="1260"/>
      <c r="K16" s="1260"/>
      <c r="L16" s="1260"/>
      <c r="M16" s="1260"/>
      <c r="N16" s="1260"/>
      <c r="O16" s="1260"/>
      <c r="P16" s="1261"/>
      <c r="Q16" s="17"/>
      <c r="R16" s="301">
        <f t="shared" ca="1" si="1"/>
        <v>99.9</v>
      </c>
      <c r="S16" s="44"/>
    </row>
    <row r="17" spans="2:19" ht="15" customHeight="1" x14ac:dyDescent="0.25">
      <c r="B17" s="17"/>
      <c r="C17" s="949"/>
      <c r="D17" s="1260" t="str">
        <f t="shared" ca="1" si="0"/>
        <v>LEGE REGEL</v>
      </c>
      <c r="E17" s="1260"/>
      <c r="F17" s="1260"/>
      <c r="G17" s="1260"/>
      <c r="H17" s="1260"/>
      <c r="I17" s="1260"/>
      <c r="J17" s="1260"/>
      <c r="K17" s="1260"/>
      <c r="L17" s="1260"/>
      <c r="M17" s="1260"/>
      <c r="N17" s="1260"/>
      <c r="O17" s="1260"/>
      <c r="P17" s="1261"/>
      <c r="Q17" s="17"/>
      <c r="R17" s="301">
        <f t="shared" ca="1" si="1"/>
        <v>99.9</v>
      </c>
      <c r="S17" s="44"/>
    </row>
    <row r="18" spans="2:19" ht="15" customHeight="1" x14ac:dyDescent="0.25">
      <c r="B18" s="17"/>
      <c r="C18" s="949"/>
      <c r="D18" s="1260" t="str">
        <f t="shared" ca="1" si="0"/>
        <v>LEGE REGEL</v>
      </c>
      <c r="E18" s="1260"/>
      <c r="F18" s="1260"/>
      <c r="G18" s="1260"/>
      <c r="H18" s="1260"/>
      <c r="I18" s="1260"/>
      <c r="J18" s="1260"/>
      <c r="K18" s="1260"/>
      <c r="L18" s="1260"/>
      <c r="M18" s="1260"/>
      <c r="N18" s="1260"/>
      <c r="O18" s="1260"/>
      <c r="P18" s="1261"/>
      <c r="Q18" s="17"/>
      <c r="R18" s="301">
        <f t="shared" ca="1" si="1"/>
        <v>99.9</v>
      </c>
      <c r="S18" s="44"/>
    </row>
    <row r="19" spans="2:19" ht="15" customHeight="1" x14ac:dyDescent="0.25">
      <c r="B19" s="17"/>
      <c r="C19" s="949"/>
      <c r="D19" s="1260" t="str">
        <f t="shared" ca="1" si="0"/>
        <v>LEGE REGEL</v>
      </c>
      <c r="E19" s="1260"/>
      <c r="F19" s="1260"/>
      <c r="G19" s="1260"/>
      <c r="H19" s="1260"/>
      <c r="I19" s="1260"/>
      <c r="J19" s="1260"/>
      <c r="K19" s="1260"/>
      <c r="L19" s="1260"/>
      <c r="M19" s="1260"/>
      <c r="N19" s="1260"/>
      <c r="O19" s="1260"/>
      <c r="P19" s="1261"/>
      <c r="Q19" s="17"/>
      <c r="R19" s="301">
        <f t="shared" ca="1" si="1"/>
        <v>99.9</v>
      </c>
      <c r="S19" s="44"/>
    </row>
    <row r="20" spans="2:19" ht="15" customHeight="1" x14ac:dyDescent="0.25">
      <c r="B20" s="17"/>
      <c r="C20" s="949"/>
      <c r="D20" s="1260" t="str">
        <f t="shared" ca="1" si="0"/>
        <v>LEGE REGEL</v>
      </c>
      <c r="E20" s="1260"/>
      <c r="F20" s="1260"/>
      <c r="G20" s="1260"/>
      <c r="H20" s="1260"/>
      <c r="I20" s="1260"/>
      <c r="J20" s="1260"/>
      <c r="K20" s="1260"/>
      <c r="L20" s="1260"/>
      <c r="M20" s="1260"/>
      <c r="N20" s="1260"/>
      <c r="O20" s="1260"/>
      <c r="P20" s="1261"/>
      <c r="Q20" s="17"/>
      <c r="R20" s="301">
        <f t="shared" ca="1" si="1"/>
        <v>99.9</v>
      </c>
      <c r="S20" s="44"/>
    </row>
    <row r="21" spans="2:19" ht="15" customHeight="1" x14ac:dyDescent="0.25">
      <c r="B21" s="17"/>
      <c r="C21" s="949"/>
      <c r="D21" s="1260" t="str">
        <f t="shared" ca="1" si="0"/>
        <v>LEGE REGEL</v>
      </c>
      <c r="E21" s="1260"/>
      <c r="F21" s="1260"/>
      <c r="G21" s="1260"/>
      <c r="H21" s="1260"/>
      <c r="I21" s="1260"/>
      <c r="J21" s="1260"/>
      <c r="K21" s="1260"/>
      <c r="L21" s="1260"/>
      <c r="M21" s="1260"/>
      <c r="N21" s="1260"/>
      <c r="O21" s="1260"/>
      <c r="P21" s="1261"/>
      <c r="Q21" s="17"/>
      <c r="R21" s="301">
        <f t="shared" ca="1" si="1"/>
        <v>99.9</v>
      </c>
      <c r="S21" s="44"/>
    </row>
    <row r="22" spans="2:19" ht="15" customHeight="1" x14ac:dyDescent="0.25">
      <c r="B22" s="17"/>
      <c r="C22" s="964"/>
      <c r="D22" s="1260" t="str">
        <f t="shared" ca="1" si="0"/>
        <v>LEGE REGEL</v>
      </c>
      <c r="E22" s="1260"/>
      <c r="F22" s="1260"/>
      <c r="G22" s="1260"/>
      <c r="H22" s="1260"/>
      <c r="I22" s="1260"/>
      <c r="J22" s="1260"/>
      <c r="K22" s="1260"/>
      <c r="L22" s="1260"/>
      <c r="M22" s="1260"/>
      <c r="N22" s="1260"/>
      <c r="O22" s="1260"/>
      <c r="P22" s="1261"/>
      <c r="Q22" s="17"/>
      <c r="R22" s="301">
        <f t="shared" ca="1" si="1"/>
        <v>99.9</v>
      </c>
      <c r="S22" s="44"/>
    </row>
    <row r="23" spans="2:19" ht="15" customHeight="1" x14ac:dyDescent="0.25">
      <c r="B23" s="17"/>
      <c r="C23" s="964"/>
      <c r="D23" s="1260" t="str">
        <f t="shared" ca="1" si="0"/>
        <v>LEGE REGEL</v>
      </c>
      <c r="E23" s="1260"/>
      <c r="F23" s="1260"/>
      <c r="G23" s="1260"/>
      <c r="H23" s="1260"/>
      <c r="I23" s="1260"/>
      <c r="J23" s="1260"/>
      <c r="K23" s="1260"/>
      <c r="L23" s="1260"/>
      <c r="M23" s="1260"/>
      <c r="N23" s="1260"/>
      <c r="O23" s="1260"/>
      <c r="P23" s="1261"/>
      <c r="Q23" s="17"/>
      <c r="R23" s="301">
        <f t="shared" ca="1" si="1"/>
        <v>99.9</v>
      </c>
      <c r="S23" s="44"/>
    </row>
    <row r="24" spans="2:19" ht="15" customHeight="1" x14ac:dyDescent="0.25">
      <c r="B24" s="17"/>
      <c r="C24" s="964"/>
      <c r="D24" s="1260" t="str">
        <f t="shared" ca="1" si="0"/>
        <v>LEGE REGEL</v>
      </c>
      <c r="E24" s="1260"/>
      <c r="F24" s="1260"/>
      <c r="G24" s="1260"/>
      <c r="H24" s="1260"/>
      <c r="I24" s="1260"/>
      <c r="J24" s="1260"/>
      <c r="K24" s="1260"/>
      <c r="L24" s="1260"/>
      <c r="M24" s="1260"/>
      <c r="N24" s="1260"/>
      <c r="O24" s="1260"/>
      <c r="P24" s="1261"/>
      <c r="Q24" s="17"/>
      <c r="R24" s="301">
        <f t="shared" ca="1" si="1"/>
        <v>99.9</v>
      </c>
      <c r="S24" s="44"/>
    </row>
    <row r="25" spans="2:19" ht="15" customHeight="1" x14ac:dyDescent="0.25">
      <c r="B25" s="17"/>
      <c r="C25" s="964"/>
      <c r="D25" s="1260" t="str">
        <f t="shared" ca="1" si="0"/>
        <v>LEGE REGEL</v>
      </c>
      <c r="E25" s="1260"/>
      <c r="F25" s="1260"/>
      <c r="G25" s="1260"/>
      <c r="H25" s="1260"/>
      <c r="I25" s="1260"/>
      <c r="J25" s="1260"/>
      <c r="K25" s="1260"/>
      <c r="L25" s="1260"/>
      <c r="M25" s="1260"/>
      <c r="N25" s="1260"/>
      <c r="O25" s="1260"/>
      <c r="P25" s="1261"/>
      <c r="Q25" s="17"/>
      <c r="R25" s="301">
        <f t="shared" ca="1" si="1"/>
        <v>99.9</v>
      </c>
      <c r="S25" s="44"/>
    </row>
    <row r="26" spans="2:19" ht="15" customHeight="1" x14ac:dyDescent="0.25">
      <c r="B26" s="17"/>
      <c r="C26" s="964"/>
      <c r="D26" s="1260" t="str">
        <f t="shared" ca="1" si="0"/>
        <v>LEGE REGEL</v>
      </c>
      <c r="E26" s="1260"/>
      <c r="F26" s="1260"/>
      <c r="G26" s="1260"/>
      <c r="H26" s="1260"/>
      <c r="I26" s="1260"/>
      <c r="J26" s="1260"/>
      <c r="K26" s="1260"/>
      <c r="L26" s="1260"/>
      <c r="M26" s="1260"/>
      <c r="N26" s="1260"/>
      <c r="O26" s="1260"/>
      <c r="P26" s="1261"/>
      <c r="Q26" s="17"/>
      <c r="R26" s="301">
        <f t="shared" ca="1" si="1"/>
        <v>99.9</v>
      </c>
      <c r="S26" s="44"/>
    </row>
    <row r="27" spans="2:19" ht="15" customHeight="1" x14ac:dyDescent="0.25">
      <c r="B27" s="17"/>
      <c r="C27" s="964"/>
      <c r="D27" s="1260" t="str">
        <f t="shared" ca="1" si="0"/>
        <v>LEGE REGEL</v>
      </c>
      <c r="E27" s="1260"/>
      <c r="F27" s="1260"/>
      <c r="G27" s="1260"/>
      <c r="H27" s="1260"/>
      <c r="I27" s="1260"/>
      <c r="J27" s="1260"/>
      <c r="K27" s="1260"/>
      <c r="L27" s="1260"/>
      <c r="M27" s="1260"/>
      <c r="N27" s="1260"/>
      <c r="O27" s="1260"/>
      <c r="P27" s="1261"/>
      <c r="Q27" s="17"/>
      <c r="R27" s="301">
        <f t="shared" ca="1" si="1"/>
        <v>99.9</v>
      </c>
      <c r="S27" s="44"/>
    </row>
    <row r="28" spans="2:19" ht="15" customHeight="1" x14ac:dyDescent="0.25">
      <c r="B28" s="17"/>
      <c r="C28" s="964"/>
      <c r="D28" s="1260" t="str">
        <f t="shared" ca="1" si="0"/>
        <v>LEGE REGEL</v>
      </c>
      <c r="E28" s="1260"/>
      <c r="F28" s="1260"/>
      <c r="G28" s="1260"/>
      <c r="H28" s="1260"/>
      <c r="I28" s="1260"/>
      <c r="J28" s="1260"/>
      <c r="K28" s="1260"/>
      <c r="L28" s="1260"/>
      <c r="M28" s="1260"/>
      <c r="N28" s="1260"/>
      <c r="O28" s="1260"/>
      <c r="P28" s="1261"/>
      <c r="Q28" s="17"/>
      <c r="R28" s="301">
        <f t="shared" ca="1" si="1"/>
        <v>99.9</v>
      </c>
      <c r="S28" s="44"/>
    </row>
    <row r="29" spans="2:19" ht="15" customHeight="1" x14ac:dyDescent="0.25">
      <c r="B29" s="17"/>
      <c r="C29" s="964"/>
      <c r="D29" s="1260" t="str">
        <f t="shared" ca="1" si="0"/>
        <v>LEGE REGEL</v>
      </c>
      <c r="E29" s="1260"/>
      <c r="F29" s="1260"/>
      <c r="G29" s="1260"/>
      <c r="H29" s="1260"/>
      <c r="I29" s="1260"/>
      <c r="J29" s="1260"/>
      <c r="K29" s="1260"/>
      <c r="L29" s="1260"/>
      <c r="M29" s="1260"/>
      <c r="N29" s="1260"/>
      <c r="O29" s="1260"/>
      <c r="P29" s="1261"/>
      <c r="Q29" s="17"/>
      <c r="R29" s="301">
        <f t="shared" ca="1" si="1"/>
        <v>99.9</v>
      </c>
      <c r="S29" s="44"/>
    </row>
    <row r="30" spans="2:19" ht="15" customHeight="1" x14ac:dyDescent="0.25">
      <c r="B30" s="17"/>
      <c r="C30" s="964"/>
      <c r="D30" s="1260" t="str">
        <f t="shared" ref="D30:D33" ca="1" si="2">VLOOKUP(R30,$B$63:$D$116,3)</f>
        <v>LEGE REGEL</v>
      </c>
      <c r="E30" s="1260"/>
      <c r="F30" s="1260"/>
      <c r="G30" s="1260"/>
      <c r="H30" s="1260"/>
      <c r="I30" s="1260"/>
      <c r="J30" s="1260"/>
      <c r="K30" s="1260"/>
      <c r="L30" s="1260"/>
      <c r="M30" s="1260"/>
      <c r="N30" s="1260"/>
      <c r="O30" s="1260"/>
      <c r="P30" s="1261"/>
      <c r="Q30" s="17"/>
      <c r="R30" s="301">
        <f t="shared" ca="1" si="1"/>
        <v>99.9</v>
      </c>
      <c r="S30" s="44"/>
    </row>
    <row r="31" spans="2:19" ht="15" customHeight="1" x14ac:dyDescent="0.25">
      <c r="B31" s="17"/>
      <c r="C31" s="964"/>
      <c r="D31" s="1260" t="str">
        <f t="shared" ca="1" si="2"/>
        <v>LEGE REGEL</v>
      </c>
      <c r="E31" s="1260"/>
      <c r="F31" s="1260"/>
      <c r="G31" s="1260"/>
      <c r="H31" s="1260"/>
      <c r="I31" s="1260"/>
      <c r="J31" s="1260"/>
      <c r="K31" s="1260"/>
      <c r="L31" s="1260"/>
      <c r="M31" s="1260"/>
      <c r="N31" s="1260"/>
      <c r="O31" s="1260"/>
      <c r="P31" s="1261"/>
      <c r="Q31" s="17"/>
      <c r="R31" s="301">
        <f t="shared" ca="1" si="1"/>
        <v>99.9</v>
      </c>
      <c r="S31" s="44"/>
    </row>
    <row r="32" spans="2:19" ht="15" customHeight="1" x14ac:dyDescent="0.25">
      <c r="B32" s="17"/>
      <c r="C32" s="964"/>
      <c r="D32" s="1260" t="str">
        <f t="shared" ca="1" si="2"/>
        <v>LEGE REGEL</v>
      </c>
      <c r="E32" s="1260"/>
      <c r="F32" s="1260"/>
      <c r="G32" s="1260"/>
      <c r="H32" s="1260"/>
      <c r="I32" s="1260"/>
      <c r="J32" s="1260"/>
      <c r="K32" s="1260"/>
      <c r="L32" s="1260"/>
      <c r="M32" s="1260"/>
      <c r="N32" s="1260"/>
      <c r="O32" s="1260"/>
      <c r="P32" s="1261"/>
      <c r="Q32" s="17"/>
      <c r="R32" s="301">
        <f t="shared" ca="1" si="1"/>
        <v>99.9</v>
      </c>
      <c r="S32" s="44"/>
    </row>
    <row r="33" spans="2:19" ht="15" customHeight="1" x14ac:dyDescent="0.25">
      <c r="B33" s="17"/>
      <c r="C33" s="964"/>
      <c r="D33" s="1260" t="str">
        <f t="shared" ca="1" si="2"/>
        <v>LEGE REGEL</v>
      </c>
      <c r="E33" s="1260"/>
      <c r="F33" s="1260"/>
      <c r="G33" s="1260"/>
      <c r="H33" s="1260"/>
      <c r="I33" s="1260"/>
      <c r="J33" s="1260"/>
      <c r="K33" s="1260"/>
      <c r="L33" s="1260"/>
      <c r="M33" s="1260"/>
      <c r="N33" s="1260"/>
      <c r="O33" s="1260"/>
      <c r="P33" s="1261"/>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78" t="str">
        <f ca="1">IF(OR(F134=1,AF133=3),AB128,IF(X128=0,R129,IF(K126=1,B135,B128&amp;B129&amp;B130&amp;H130&amp;B131&amp;H131&amp;B132&amp;H132&amp;I130&amp;M130&amp;I131&amp;M131&amp;I132&amp;M132&amp;I133&amp;M133&amp;IF(AF133=0,"BETA",""))))</f>
        <v>|dh|30|12|20|30|12|01|02|02|21|03|31|31|20|20|12|12|20|11|01|11|02|02|14|20|12|01|04|11|21|40|30|21|21|12|05|22|DE.CH.HU.SC|ES.IT.HR.AL|GB.DK.RS.SI|FR.NL.AT.PL|BE.UA.SK.RO|PT.TR.CZ.GE|CHIT02|DEDK31|GBAT41|ESCZ30|NLUA21|PTHR21|BERS10|FRTR31|ESDE12|PTNL20|GBIT31|BEFR02|DEPT01|FRGB21|PTFR13|FR||Carmen#*Schalks#*(Bisbee)25||c.schalks@bisbee.nl19]</v>
      </c>
      <c r="F40" s="1178"/>
      <c r="G40" s="1178"/>
      <c r="H40" s="1178"/>
      <c r="I40" s="1178"/>
      <c r="J40" s="1178"/>
      <c r="K40" s="1178"/>
      <c r="L40" s="1178"/>
      <c r="M40" s="1178"/>
      <c r="N40" s="1178"/>
      <c r="O40" s="968"/>
      <c r="P40" s="367"/>
      <c r="Q40" s="17"/>
      <c r="R40" s="72"/>
      <c r="S40" s="44"/>
    </row>
    <row r="41" spans="2:19" ht="15" customHeight="1" x14ac:dyDescent="0.25">
      <c r="B41" s="17"/>
      <c r="C41" s="383"/>
      <c r="D41" s="969"/>
      <c r="E41" s="1181"/>
      <c r="F41" s="1181"/>
      <c r="G41" s="1181"/>
      <c r="H41" s="1181"/>
      <c r="I41" s="1181"/>
      <c r="J41" s="1181"/>
      <c r="K41" s="1181"/>
      <c r="L41" s="1181"/>
      <c r="M41" s="1181"/>
      <c r="N41" s="1181"/>
      <c r="O41" s="970"/>
      <c r="P41" s="367"/>
      <c r="Q41" s="17"/>
      <c r="R41" s="72"/>
      <c r="S41" s="44"/>
    </row>
    <row r="42" spans="2:19" ht="15" customHeight="1" x14ac:dyDescent="0.25">
      <c r="B42" s="17"/>
      <c r="C42" s="383"/>
      <c r="D42" s="969"/>
      <c r="E42" s="1181"/>
      <c r="F42" s="1181"/>
      <c r="G42" s="1181"/>
      <c r="H42" s="1181"/>
      <c r="I42" s="1181"/>
      <c r="J42" s="1181"/>
      <c r="K42" s="1181"/>
      <c r="L42" s="1181"/>
      <c r="M42" s="1181"/>
      <c r="N42" s="1181"/>
      <c r="O42" s="970"/>
      <c r="P42" s="367"/>
      <c r="Q42" s="17"/>
      <c r="R42" s="72"/>
      <c r="S42" s="44"/>
    </row>
    <row r="43" spans="2:19" ht="15" customHeight="1" x14ac:dyDescent="0.25">
      <c r="B43" s="17"/>
      <c r="C43" s="383"/>
      <c r="D43" s="969"/>
      <c r="E43" s="1181"/>
      <c r="F43" s="1181"/>
      <c r="G43" s="1181"/>
      <c r="H43" s="1181"/>
      <c r="I43" s="1181"/>
      <c r="J43" s="1181"/>
      <c r="K43" s="1181"/>
      <c r="L43" s="1181"/>
      <c r="M43" s="1181"/>
      <c r="N43" s="1181"/>
      <c r="O43" s="970"/>
      <c r="P43" s="367"/>
      <c r="Q43" s="17"/>
      <c r="R43" s="72"/>
      <c r="S43" s="44"/>
    </row>
    <row r="44" spans="2:19" ht="15" customHeight="1" x14ac:dyDescent="0.25">
      <c r="B44" s="17"/>
      <c r="C44" s="383"/>
      <c r="D44" s="969"/>
      <c r="E44" s="1181"/>
      <c r="F44" s="1181"/>
      <c r="G44" s="1181"/>
      <c r="H44" s="1181"/>
      <c r="I44" s="1181"/>
      <c r="J44" s="1181"/>
      <c r="K44" s="1181"/>
      <c r="L44" s="1181"/>
      <c r="M44" s="1181"/>
      <c r="N44" s="1181"/>
      <c r="O44" s="970"/>
      <c r="P44" s="367"/>
      <c r="Q44" s="17"/>
      <c r="R44" s="72"/>
      <c r="S44" s="44"/>
    </row>
    <row r="45" spans="2:19" ht="15" customHeight="1" x14ac:dyDescent="0.25">
      <c r="B45" s="17"/>
      <c r="C45" s="383"/>
      <c r="D45" s="971"/>
      <c r="E45" s="1184"/>
      <c r="F45" s="1184"/>
      <c r="G45" s="1184"/>
      <c r="H45" s="1184"/>
      <c r="I45" s="1184"/>
      <c r="J45" s="1184"/>
      <c r="K45" s="1184"/>
      <c r="L45" s="1184"/>
      <c r="M45" s="1184"/>
      <c r="N45" s="1184"/>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71" t="str">
        <f>IF(Reglement!D71="","",Reglement!D71)</f>
        <v>www.excel-pool.nl</v>
      </c>
      <c r="E48" s="1271"/>
      <c r="F48" s="1271"/>
      <c r="G48" s="1271"/>
      <c r="H48" s="1271"/>
      <c r="I48" s="1271"/>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75"/>
      <c r="C50" s="1075"/>
      <c r="D50" s="1075"/>
      <c r="E50" s="1075"/>
      <c r="F50" s="1075"/>
      <c r="G50" s="1075"/>
      <c r="H50" s="1075"/>
      <c r="I50" s="1075"/>
      <c r="J50" s="1075"/>
      <c r="K50" s="1075"/>
      <c r="L50" s="1075"/>
      <c r="M50" s="1075"/>
      <c r="N50" s="1075"/>
      <c r="O50" s="1075"/>
      <c r="P50" s="1075"/>
      <c r="Q50" s="1075"/>
      <c r="S50" s="44"/>
    </row>
    <row r="51" spans="2:34" hidden="1" x14ac:dyDescent="0.25">
      <c r="B51" s="276"/>
      <c r="C51" s="277" t="s">
        <v>2422</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2423</v>
      </c>
      <c r="D52" s="276"/>
      <c r="E52" s="276"/>
      <c r="F52" s="276"/>
      <c r="G52" s="276"/>
      <c r="H52" s="280" t="str">
        <f>LEFT(RIGHT(O48,2),1)</f>
        <v>d</v>
      </c>
      <c r="I52" s="276"/>
      <c r="J52" s="276"/>
      <c r="K52" s="276"/>
      <c r="L52" s="276"/>
      <c r="M52" s="276"/>
      <c r="N52" s="298" t="s">
        <v>2424</v>
      </c>
      <c r="O52" s="1273" t="s">
        <v>1889</v>
      </c>
      <c r="P52" s="1273"/>
      <c r="Q52" s="1273"/>
      <c r="R52" s="276"/>
      <c r="S52" s="268"/>
      <c r="T52" s="1283" t="s">
        <v>2425</v>
      </c>
      <c r="U52" s="717"/>
      <c r="V52" s="717"/>
      <c r="W52" s="717"/>
      <c r="X52" s="717"/>
      <c r="Y52" s="717"/>
      <c r="Z52" s="717"/>
      <c r="AA52" s="717"/>
      <c r="AB52" s="717"/>
      <c r="AC52" s="717"/>
      <c r="AD52" s="717"/>
      <c r="AE52" s="717"/>
      <c r="AF52" s="717"/>
      <c r="AG52" s="717"/>
      <c r="AH52" s="268"/>
    </row>
    <row r="53" spans="2:34" hidden="1" x14ac:dyDescent="0.25">
      <c r="B53" s="276"/>
      <c r="C53" s="282" t="s">
        <v>2426</v>
      </c>
      <c r="D53" s="276"/>
      <c r="E53" s="276"/>
      <c r="F53" s="276"/>
      <c r="G53" s="276"/>
      <c r="H53" s="280" t="str">
        <f>IF(CODE($H$52)&lt;104,"JA","NEE")</f>
        <v>JA</v>
      </c>
      <c r="I53" s="276"/>
      <c r="J53" s="282" t="s">
        <v>2427</v>
      </c>
      <c r="K53" s="276"/>
      <c r="L53" s="276"/>
      <c r="M53" s="276"/>
      <c r="N53" s="280" t="str">
        <f>IF(AND(H53="JA",H54="JA"),"G1e",IF(AND(H53="NEE",H54="JA"),"G2e","n.v.t."))</f>
        <v>G1e</v>
      </c>
      <c r="O53" s="1274" t="str">
        <f ca="1">IF(N53="G1e",Groepswedstrijden!AD16,IF(N53="G2e",#REF!,"n.v.t."))</f>
        <v>GOED</v>
      </c>
      <c r="P53" s="1274"/>
      <c r="Q53" s="1274"/>
      <c r="R53" s="276"/>
      <c r="S53" s="268"/>
      <c r="T53" s="1283"/>
      <c r="U53" s="806" t="s">
        <v>2428</v>
      </c>
      <c r="V53" s="717"/>
      <c r="W53" s="717"/>
      <c r="X53" s="717"/>
      <c r="Y53" s="717"/>
      <c r="Z53" s="1265" t="s">
        <v>2429</v>
      </c>
      <c r="AA53" s="1266"/>
      <c r="AB53" s="1266"/>
      <c r="AC53" s="1266"/>
      <c r="AD53" s="1265" t="s">
        <v>2430</v>
      </c>
      <c r="AE53" s="1266"/>
      <c r="AF53" s="1267"/>
      <c r="AG53" s="717"/>
      <c r="AH53" s="268"/>
    </row>
    <row r="54" spans="2:34" hidden="1" x14ac:dyDescent="0.25">
      <c r="B54" s="268"/>
      <c r="C54" s="281" t="s">
        <v>2431</v>
      </c>
      <c r="D54" s="268"/>
      <c r="E54" s="268"/>
      <c r="F54" s="268"/>
      <c r="G54" s="268"/>
      <c r="H54" s="280" t="str">
        <f>IF(CODE($H$52)&lt;108,"JA","NEE")</f>
        <v>JA</v>
      </c>
      <c r="I54" s="268"/>
      <c r="J54" s="282" t="s">
        <v>2432</v>
      </c>
      <c r="K54" s="276"/>
      <c r="L54" s="276"/>
      <c r="M54" s="276"/>
      <c r="N54" s="280" t="str">
        <f>IF(H55="JA","E1e","n.v.t.")</f>
        <v>E1e</v>
      </c>
      <c r="O54" s="1274" t="str">
        <f ca="1">IF(N54="E1e",'Eindstand Groep'!AA59,"n.v.t.")</f>
        <v>GOED</v>
      </c>
      <c r="P54" s="1274"/>
      <c r="Q54" s="1274"/>
      <c r="R54" s="268"/>
      <c r="S54" s="268"/>
      <c r="T54" s="1283"/>
      <c r="U54" s="717"/>
      <c r="V54" s="717"/>
      <c r="W54" s="717"/>
      <c r="X54" s="717"/>
      <c r="Y54" s="717"/>
      <c r="Z54" s="807" t="s">
        <v>2433</v>
      </c>
      <c r="AA54" s="810" t="s">
        <v>2434</v>
      </c>
      <c r="AB54" s="808" t="s">
        <v>2435</v>
      </c>
      <c r="AC54" s="810" t="s">
        <v>2436</v>
      </c>
      <c r="AD54" s="808" t="s">
        <v>2433</v>
      </c>
      <c r="AE54" s="810" t="s">
        <v>2434</v>
      </c>
      <c r="AF54" s="809" t="s">
        <v>2435</v>
      </c>
      <c r="AG54" s="717"/>
      <c r="AH54" s="268"/>
    </row>
    <row r="55" spans="2:34" hidden="1" x14ac:dyDescent="0.25">
      <c r="B55" s="268"/>
      <c r="C55" s="281" t="s">
        <v>2437</v>
      </c>
      <c r="D55" s="268"/>
      <c r="E55" s="268"/>
      <c r="F55" s="268"/>
      <c r="G55" s="268"/>
      <c r="H55" s="280" t="str">
        <f>IF(ISEVEN(CODE($H$52)),"JA","NEE")</f>
        <v>JA</v>
      </c>
      <c r="I55" s="268"/>
      <c r="J55" s="282" t="s">
        <v>2438</v>
      </c>
      <c r="K55" s="276"/>
      <c r="L55" s="268"/>
      <c r="M55" s="268"/>
      <c r="N55" s="280" t="str">
        <f>IF(AND(H56="JA",H57="JA",H58="JA"),"F1e",IF(AND(H56="NEE",H57="JA",H58="JA"),"F2e",IF(AND(H56="NEE",H57="NEE",H58="JA"),"F3e","n.v.t.")))</f>
        <v>F1e</v>
      </c>
      <c r="O55" s="1274" t="str">
        <f ca="1">IF(N55="F1e",Finalewedstrijden!AP71,IF(N55="F2e",#REF!,IF(N55="F3e",#REF!,"n.v.t.")))</f>
        <v>GOED</v>
      </c>
      <c r="P55" s="1274"/>
      <c r="Q55" s="1274"/>
      <c r="R55" s="268"/>
      <c r="S55" s="268"/>
      <c r="T55" s="1283"/>
      <c r="U55" s="804" t="s">
        <v>2439</v>
      </c>
      <c r="V55" s="804"/>
      <c r="W55" s="804"/>
      <c r="X55" s="805" t="s">
        <v>2327</v>
      </c>
      <c r="Y55" s="999">
        <v>6</v>
      </c>
      <c r="Z55" s="811">
        <f>Y55*12</f>
        <v>72</v>
      </c>
      <c r="AA55" s="812" t="s">
        <v>2189</v>
      </c>
      <c r="AB55" s="813" t="s">
        <v>2189</v>
      </c>
      <c r="AC55" s="812">
        <f>Y55*4</f>
        <v>24</v>
      </c>
      <c r="AD55" s="813">
        <f>Y55*4</f>
        <v>24</v>
      </c>
      <c r="AE55" s="812" t="s">
        <v>2189</v>
      </c>
      <c r="AF55" s="814" t="s">
        <v>2189</v>
      </c>
      <c r="AG55" s="717"/>
      <c r="AH55" s="268"/>
    </row>
    <row r="56" spans="2:34" hidden="1" x14ac:dyDescent="0.25">
      <c r="B56" s="268"/>
      <c r="C56" s="281" t="s">
        <v>2440</v>
      </c>
      <c r="D56" s="281"/>
      <c r="E56" s="268"/>
      <c r="F56" s="268"/>
      <c r="G56" s="268"/>
      <c r="H56" s="280" t="str">
        <f>IF(OR(CODE($H$52)=100,CODE($H$52)=101),"JA","NEE")</f>
        <v>JA</v>
      </c>
      <c r="I56" s="268"/>
      <c r="J56" s="268"/>
      <c r="K56" s="276"/>
      <c r="L56" s="268"/>
      <c r="M56" s="268"/>
      <c r="N56" s="299" t="s">
        <v>2441</v>
      </c>
      <c r="O56" s="1275" t="str">
        <f ca="1">IF(N54="E1e",IF(AND(O53="GOED",O54="GOED",O55="GOED"),"JA",IF(AND(O53="GOED",O55="GOED"),"JA","NEE")))</f>
        <v>JA</v>
      </c>
      <c r="P56" s="1275"/>
      <c r="Q56" s="1275"/>
      <c r="R56" s="268"/>
      <c r="S56" s="268"/>
      <c r="T56" s="1283"/>
      <c r="U56" s="804" t="s">
        <v>2442</v>
      </c>
      <c r="V56" s="804"/>
      <c r="W56" s="804"/>
      <c r="X56" s="805" t="s">
        <v>2327</v>
      </c>
      <c r="Y56" s="780">
        <f>Y55*4</f>
        <v>24</v>
      </c>
      <c r="Z56" s="811" t="s">
        <v>2189</v>
      </c>
      <c r="AA56" s="812" t="s">
        <v>2189</v>
      </c>
      <c r="AB56" s="813" t="s">
        <v>2189</v>
      </c>
      <c r="AC56" s="812" t="s">
        <v>2189</v>
      </c>
      <c r="AD56" s="813" t="s">
        <v>2189</v>
      </c>
      <c r="AE56" s="812" t="s">
        <v>2189</v>
      </c>
      <c r="AF56" s="814" t="s">
        <v>2189</v>
      </c>
      <c r="AG56" s="717"/>
      <c r="AH56" s="268"/>
    </row>
    <row r="57" spans="2:34" hidden="1" x14ac:dyDescent="0.25">
      <c r="B57" s="268"/>
      <c r="C57" s="281" t="s">
        <v>2443</v>
      </c>
      <c r="D57" s="281"/>
      <c r="E57" s="268"/>
      <c r="F57" s="268"/>
      <c r="G57" s="268"/>
      <c r="H57" s="280" t="str">
        <f>IF(OR(CODE($H$52)=100,CODE($H$52)=101,CODE($H$52)=104,CODE($H$52)=105),"JA","NEE")</f>
        <v>JA</v>
      </c>
      <c r="I57" s="268"/>
      <c r="J57" s="268"/>
      <c r="K57" s="276"/>
      <c r="L57" s="268"/>
      <c r="M57" s="268"/>
      <c r="N57" s="268"/>
      <c r="O57" s="268"/>
      <c r="P57" s="268"/>
      <c r="Q57" s="268"/>
      <c r="R57" s="268"/>
      <c r="S57" s="268"/>
      <c r="T57" s="1283"/>
      <c r="U57" s="804" t="s">
        <v>2444</v>
      </c>
      <c r="V57" s="804"/>
      <c r="W57" s="804"/>
      <c r="X57" s="805" t="s">
        <v>2327</v>
      </c>
      <c r="Y57" s="780">
        <f>Y55*6</f>
        <v>36</v>
      </c>
      <c r="Z57" s="811">
        <f>Y57*3+1</f>
        <v>109</v>
      </c>
      <c r="AA57" s="812">
        <f>Y57*2+1</f>
        <v>73</v>
      </c>
      <c r="AB57" s="813" t="s">
        <v>2189</v>
      </c>
      <c r="AC57" s="812">
        <f>Y57*4+1</f>
        <v>145</v>
      </c>
      <c r="AD57" s="813">
        <f>Y57*2</f>
        <v>72</v>
      </c>
      <c r="AE57" s="812">
        <f>Y57</f>
        <v>36</v>
      </c>
      <c r="AF57" s="814" t="s">
        <v>2189</v>
      </c>
      <c r="AG57" s="717"/>
      <c r="AH57" s="268"/>
    </row>
    <row r="58" spans="2:34" hidden="1" x14ac:dyDescent="0.25">
      <c r="B58" s="268"/>
      <c r="C58" s="281" t="s">
        <v>2445</v>
      </c>
      <c r="D58" s="281"/>
      <c r="E58" s="268"/>
      <c r="F58" s="268"/>
      <c r="G58" s="268"/>
      <c r="H58" s="280" t="str">
        <f>IF(CODE($H$52)&lt;108,"JA","NEE")</f>
        <v>JA</v>
      </c>
      <c r="I58" s="268"/>
      <c r="J58" s="268"/>
      <c r="K58" s="276"/>
      <c r="L58" s="268"/>
      <c r="M58" s="268"/>
      <c r="N58" s="268"/>
      <c r="O58" s="268"/>
      <c r="P58" s="278"/>
      <c r="Q58" s="268"/>
      <c r="R58" s="268"/>
      <c r="S58" s="268"/>
      <c r="T58" s="1283"/>
      <c r="U58" s="804" t="s">
        <v>2446</v>
      </c>
      <c r="V58" s="804"/>
      <c r="W58" s="804"/>
      <c r="X58" s="805" t="s">
        <v>2327</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123</v>
      </c>
      <c r="D59" s="281"/>
      <c r="E59" s="268"/>
      <c r="F59" s="268"/>
      <c r="G59" s="325" t="str">
        <f>RIGHT(O48,1)</f>
        <v>h</v>
      </c>
      <c r="H59" s="280" t="str">
        <f>IF(CODE($G$59)&lt;104,"JA","NEE")</f>
        <v>NEE</v>
      </c>
      <c r="I59" s="268"/>
      <c r="J59" s="282" t="s">
        <v>2447</v>
      </c>
      <c r="K59" s="276"/>
      <c r="L59" s="268"/>
      <c r="M59" s="268"/>
      <c r="N59" s="280" t="str">
        <f>IF(H59="JA","B1e","n.v.t.")</f>
        <v>n.v.t.</v>
      </c>
      <c r="O59" s="1274" t="str">
        <f>IF(N59="B1e",#REF!,"n.v.t.")</f>
        <v>n.v.t.</v>
      </c>
      <c r="P59" s="1274"/>
      <c r="Q59" s="1274"/>
      <c r="R59" s="268"/>
      <c r="S59" s="268"/>
      <c r="T59" s="1283"/>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2448</v>
      </c>
      <c r="U61" s="303"/>
      <c r="V61" s="303"/>
      <c r="W61" s="303"/>
      <c r="X61" s="303"/>
      <c r="Y61" s="303"/>
      <c r="Z61" s="303"/>
      <c r="AA61" s="303"/>
      <c r="AB61" s="303"/>
      <c r="AC61" s="303"/>
      <c r="AD61" s="304" t="s">
        <v>2449</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2450</v>
      </c>
      <c r="T62" s="303" t="str">
        <f>IF($N$53="G1e",Groepswedstrijden!AA6,IF($N$53="G2e",#REF!,0))</f>
        <v>|Carmen#*Schalks#*(Bisbee)25</v>
      </c>
      <c r="U62" s="303"/>
      <c r="V62" s="303"/>
      <c r="W62" s="303"/>
      <c r="X62" s="303"/>
      <c r="Y62" s="303"/>
      <c r="Z62" s="306">
        <f>B63</f>
        <v>10</v>
      </c>
      <c r="AA62" s="303"/>
      <c r="AB62" s="303"/>
      <c r="AC62" s="305" t="s">
        <v>2451</v>
      </c>
      <c r="AD62" s="303" t="str">
        <f>IF($N$53="G1e",Groepswedstrijden!AA88,IF($N$53="G2e",#REF!,0))</f>
        <v>|c.schalks@bisbee.nl19</v>
      </c>
      <c r="AE62" s="303"/>
      <c r="AF62" s="303"/>
      <c r="AG62" s="303"/>
      <c r="AH62" s="303"/>
    </row>
    <row r="63" spans="2:34" hidden="1" x14ac:dyDescent="0.25">
      <c r="B63" s="1269">
        <v>10</v>
      </c>
      <c r="C63" s="1269"/>
      <c r="D63" s="302" t="str">
        <f ca="1">Taal04!$B$162&amp;":"</f>
        <v>Gegevens Deelnemer:</v>
      </c>
      <c r="E63" s="303"/>
      <c r="F63" s="303"/>
      <c r="G63" s="303"/>
      <c r="H63" s="303"/>
      <c r="I63" s="303"/>
      <c r="J63" s="303"/>
      <c r="K63" s="303"/>
      <c r="L63" s="303"/>
      <c r="M63" s="303"/>
      <c r="N63" s="303"/>
      <c r="O63" s="72"/>
      <c r="P63" s="303"/>
      <c r="Q63" s="303"/>
      <c r="R63" s="303"/>
      <c r="S63" s="305" t="s">
        <v>2452</v>
      </c>
      <c r="T63" s="76" t="str">
        <f>IF($N$53="G1e",Groepswedstrijden!AA7,IF($N$53="G2e",#REF!,0))</f>
        <v>GOED</v>
      </c>
      <c r="U63" s="303"/>
      <c r="V63" s="303"/>
      <c r="W63" s="303"/>
      <c r="X63" s="303"/>
      <c r="Y63" s="303"/>
      <c r="Z63" s="306">
        <f>IF(AND(T66="GOED",AD66="GOED"),13,IF(AND(T66="GOED",AD66="LEEG",AD69="NEE"),13,IF(OR(T66="LEEG",AD66="LEEG"),11.1,12.1)))</f>
        <v>13</v>
      </c>
      <c r="AA63" s="303"/>
      <c r="AB63" s="303"/>
      <c r="AC63" s="305" t="s">
        <v>2452</v>
      </c>
      <c r="AD63" s="76" t="str">
        <f>IF($N$53="G1e",Groepswedstrijden!AA89,IF($N$53="G2e",#REF!,0))</f>
        <v>GOED</v>
      </c>
      <c r="AE63" s="303"/>
      <c r="AF63" s="303"/>
      <c r="AG63" s="303"/>
      <c r="AH63" s="303"/>
    </row>
    <row r="64" spans="2:34" hidden="1" x14ac:dyDescent="0.25">
      <c r="B64" s="1272">
        <v>11.1</v>
      </c>
      <c r="C64" s="1272"/>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2453</v>
      </c>
      <c r="T64" s="76" t="str">
        <f>IF(CODE(RIGHT(T62,1))=35,LEFT(RIGHT(T62,2),1),RIGHT(T62,2))</f>
        <v>25</v>
      </c>
      <c r="U64" s="303"/>
      <c r="V64" s="303"/>
      <c r="W64" s="303"/>
      <c r="X64" s="303"/>
      <c r="Y64" s="303"/>
      <c r="Z64" s="303" t="str">
        <f>IF(Z63-FLOOR(Z63,1)&gt;0,Z63+0.1,"")</f>
        <v/>
      </c>
      <c r="AA64" s="303"/>
      <c r="AB64" s="303"/>
      <c r="AC64" s="305" t="s">
        <v>2454</v>
      </c>
      <c r="AD64" s="76" t="str">
        <f>IF(CODE(RIGHT(AD62,1))=35,LEFT(RIGHT(AD62,2),1),RIGHT(AD62,2))</f>
        <v>19</v>
      </c>
      <c r="AE64" s="303"/>
      <c r="AF64" s="303"/>
      <c r="AG64" s="303"/>
      <c r="AH64" s="303"/>
    </row>
    <row r="65" spans="2:34" hidden="1" x14ac:dyDescent="0.25">
      <c r="B65" s="1272">
        <v>11.2</v>
      </c>
      <c r="C65" s="1272"/>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2455</v>
      </c>
      <c r="T65" s="76" t="str">
        <f>IF(T64*1=0,"LEEG",IF(T64*1&gt;32,"LANG",IF(LEN(T62)=T64*1+3,"GOED","FOUT")))</f>
        <v>GOED</v>
      </c>
      <c r="U65" s="324" t="str">
        <f>T64+3&amp;" = goed / 0 = leeg"</f>
        <v>28 = goed / 0 = leeg</v>
      </c>
      <c r="V65" s="303"/>
      <c r="W65" s="303"/>
      <c r="X65" s="303"/>
      <c r="Y65" s="303"/>
      <c r="Z65" s="303"/>
      <c r="AA65" s="303"/>
      <c r="AB65" s="303"/>
      <c r="AC65" s="305" t="s">
        <v>2455</v>
      </c>
      <c r="AD65" s="76" t="str">
        <f>IF(AD64*1=0,"LEEG",IF(AD64*1&gt;64,"LANG",IF(LEN(AD62)=AD64*1+3,"GOED","FOUT")))</f>
        <v>GOED</v>
      </c>
      <c r="AE65" s="324" t="str">
        <f>AD64+3&amp;" = goed / 0 = leeg"</f>
        <v>22 = goed / 0 = leeg</v>
      </c>
      <c r="AF65" s="303"/>
      <c r="AG65" s="303"/>
      <c r="AH65" s="303"/>
    </row>
    <row r="66" spans="2:34" hidden="1" x14ac:dyDescent="0.25">
      <c r="B66" s="1272">
        <v>12.1</v>
      </c>
      <c r="C66" s="1272"/>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2456</v>
      </c>
      <c r="T66" s="76" t="str">
        <f>IF(AND(T63="GOED",T65="GOED"),"GOED",IF(AND(T63="LEEG",T65="LEEG"),"LEEG","FOUT"))</f>
        <v>GOED</v>
      </c>
      <c r="U66" s="303"/>
      <c r="V66" s="303"/>
      <c r="W66" s="303"/>
      <c r="X66" s="303"/>
      <c r="Y66" s="303"/>
      <c r="Z66" s="303"/>
      <c r="AA66" s="303"/>
      <c r="AB66" s="303"/>
      <c r="AC66" s="305" t="s">
        <v>2456</v>
      </c>
      <c r="AD66" s="76" t="str">
        <f>IF(AND(AD63="GOED",AD65="GOED"),"GOED",IF(AND(OR(AD63="LEEG",AD63="OPTIE"),AD65="LEEG"),"LEEG","FOUT"))</f>
        <v>GOED</v>
      </c>
      <c r="AE66" s="303"/>
      <c r="AF66" s="303"/>
      <c r="AG66" s="303"/>
      <c r="AH66" s="303"/>
    </row>
    <row r="67" spans="2:34" hidden="1" x14ac:dyDescent="0.25">
      <c r="B67" s="1272">
        <v>12.2</v>
      </c>
      <c r="C67" s="1272"/>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72">
        <v>13</v>
      </c>
      <c r="C68" s="1272"/>
      <c r="D68" s="779" t="str">
        <f ca="1">IF(AND($AF$68="GOED",$AF$69="GOED"),AB89,AB88)</f>
        <v>De naamcode inclusief e-mailadres is zonder foutmeldingen gegenereerd.</v>
      </c>
      <c r="E68" s="303"/>
      <c r="F68" s="303"/>
      <c r="G68" s="303"/>
      <c r="H68" s="303"/>
      <c r="I68" s="303"/>
      <c r="J68" s="303"/>
      <c r="K68" s="303"/>
      <c r="L68" s="303"/>
      <c r="M68" s="303"/>
      <c r="N68" s="303"/>
      <c r="O68" s="1281" t="s">
        <v>2425</v>
      </c>
      <c r="P68" s="303"/>
      <c r="Q68" s="303"/>
      <c r="R68" s="303"/>
      <c r="S68" s="303"/>
      <c r="T68" s="304" t="s">
        <v>2457</v>
      </c>
      <c r="U68" s="303"/>
      <c r="V68" s="303"/>
      <c r="W68" s="303"/>
      <c r="X68" s="303"/>
      <c r="Y68" s="303"/>
      <c r="Z68" s="303"/>
      <c r="AA68" s="72"/>
      <c r="AB68" s="303"/>
      <c r="AC68" s="305" t="s">
        <v>2458</v>
      </c>
      <c r="AD68" s="302" t="s">
        <v>2459</v>
      </c>
      <c r="AE68" s="518" t="s">
        <v>2324</v>
      </c>
      <c r="AF68" s="303" t="str">
        <f>T66</f>
        <v>GOED</v>
      </c>
      <c r="AG68" s="516"/>
      <c r="AH68" s="516"/>
    </row>
    <row r="69" spans="2:34" hidden="1" x14ac:dyDescent="0.25">
      <c r="B69" s="1289"/>
      <c r="C69" s="1289"/>
      <c r="D69" s="516"/>
      <c r="E69" s="303"/>
      <c r="F69" s="303"/>
      <c r="G69" s="303"/>
      <c r="H69" s="303"/>
      <c r="I69" s="303"/>
      <c r="J69" s="303"/>
      <c r="K69" s="303"/>
      <c r="L69" s="303"/>
      <c r="M69" s="303"/>
      <c r="N69" s="303"/>
      <c r="O69" s="1281"/>
      <c r="P69" s="303"/>
      <c r="Q69" s="303"/>
      <c r="R69" s="303"/>
      <c r="S69" s="305" t="s">
        <v>2460</v>
      </c>
      <c r="T69" s="303" t="str">
        <f ca="1">IF($N$53="G1e",Groepswedstrijden!Y11,IF($N$53="G2e",#REF!,0))</f>
        <v>|30|12|20|30|12|01|02|02|21|03|31|31|20|20|12|12|20|11|01|11|02|02|14|20|12|01|04|11|21|40|30|21|21|12|05|22|</v>
      </c>
      <c r="U69" s="303"/>
      <c r="V69" s="303"/>
      <c r="W69" s="303"/>
      <c r="X69" s="303"/>
      <c r="Y69" s="303"/>
      <c r="Z69" s="306">
        <v>20</v>
      </c>
      <c r="AA69" s="72"/>
      <c r="AB69" s="303"/>
      <c r="AC69" s="305" t="s">
        <v>2207</v>
      </c>
      <c r="AD69" s="302" t="str">
        <f>IF(AND(Reglement!Q81=1,Reglement!H88="JA"),"JA","NEE")</f>
        <v>JA</v>
      </c>
      <c r="AE69" s="518" t="s">
        <v>2324</v>
      </c>
      <c r="AF69" s="303" t="str">
        <f>IF(AND(AD69="NEE",AD66="LEEG"),"GOED",AD66)</f>
        <v>GOED</v>
      </c>
      <c r="AG69" s="516"/>
      <c r="AH69" s="516"/>
    </row>
    <row r="70" spans="2:34" hidden="1" x14ac:dyDescent="0.25">
      <c r="B70" s="1269">
        <v>20</v>
      </c>
      <c r="C70" s="1269"/>
      <c r="D70" s="302" t="str">
        <f ca="1">Taal04!$B$178&amp;":"</f>
        <v>Voorspellingen Groepswedstrijden:</v>
      </c>
      <c r="E70" s="303"/>
      <c r="F70" s="303"/>
      <c r="G70" s="303"/>
      <c r="H70" s="303"/>
      <c r="I70" s="303"/>
      <c r="J70" s="303"/>
      <c r="K70" s="303"/>
      <c r="L70" s="303"/>
      <c r="M70" s="303"/>
      <c r="N70" s="303"/>
      <c r="O70" s="1281"/>
      <c r="P70" s="303"/>
      <c r="Q70" s="303"/>
      <c r="R70" s="303"/>
      <c r="S70" s="305" t="s">
        <v>2452</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8">
        <v>21.1</v>
      </c>
      <c r="C71" s="1268"/>
      <c r="D71" s="303" t="str">
        <f ca="1">Taal04!$B$179</f>
        <v>Het genereren van de deelnamecode voor de groepswedstrijden is niet mogelijk in verband met het ontbreken</v>
      </c>
      <c r="E71" s="303"/>
      <c r="F71" s="303"/>
      <c r="G71" s="303"/>
      <c r="H71" s="303"/>
      <c r="I71" s="303"/>
      <c r="J71" s="303"/>
      <c r="K71" s="303"/>
      <c r="L71" s="303"/>
      <c r="M71" s="303"/>
      <c r="N71" s="303"/>
      <c r="O71" s="1281"/>
      <c r="P71" s="303"/>
      <c r="Q71" s="303"/>
      <c r="R71" s="303"/>
      <c r="S71" s="305" t="s">
        <v>2455</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2461</v>
      </c>
      <c r="AC71" s="303"/>
      <c r="AD71" s="303"/>
      <c r="AE71" s="303"/>
      <c r="AF71" s="303"/>
      <c r="AG71" s="303"/>
      <c r="AH71" s="303"/>
    </row>
    <row r="72" spans="2:34" hidden="1" x14ac:dyDescent="0.25">
      <c r="B72" s="1268">
        <v>21.2</v>
      </c>
      <c r="C72" s="1268"/>
      <c r="D72" s="303" t="str">
        <f ca="1">Taal04!$B$180</f>
        <v>van gegevens. Controleer of alle velden zijn ingevuld op het werkblad "Groepswedstrijden".</v>
      </c>
      <c r="E72" s="303"/>
      <c r="F72" s="303"/>
      <c r="G72" s="303"/>
      <c r="H72" s="303"/>
      <c r="I72" s="303"/>
      <c r="J72" s="303"/>
      <c r="K72" s="303"/>
      <c r="L72" s="303"/>
      <c r="M72" s="303"/>
      <c r="N72" s="303"/>
      <c r="O72" s="1281"/>
      <c r="P72" s="303"/>
      <c r="Q72" s="303"/>
      <c r="R72" s="303"/>
      <c r="S72" s="305" t="s">
        <v>2462</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8">
        <v>22.1</v>
      </c>
      <c r="C73" s="1268"/>
      <c r="D73" s="303" t="str">
        <f ca="1">Taal04!$B$181</f>
        <v>Bij het genereren van de deelnamecode voor de groepswedstrijden is er een fout geconstateerd. Controleer uw</v>
      </c>
      <c r="E73" s="303"/>
      <c r="F73" s="303"/>
      <c r="G73" s="303"/>
      <c r="H73" s="303"/>
      <c r="I73" s="303"/>
      <c r="J73" s="303"/>
      <c r="K73" s="303"/>
      <c r="L73" s="303"/>
      <c r="M73" s="303"/>
      <c r="N73" s="303"/>
      <c r="O73" s="1281"/>
      <c r="P73" s="303"/>
      <c r="Q73" s="303"/>
      <c r="R73" s="303"/>
      <c r="S73" s="305" t="s">
        <v>2463</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8">
        <v>22.2</v>
      </c>
      <c r="C74" s="1268"/>
      <c r="D74" s="303" t="str">
        <f ca="1">Taal04!$B$182</f>
        <v>invoer op het werkblad "Groepswedstrijden".</v>
      </c>
      <c r="E74" s="303"/>
      <c r="F74" s="303"/>
      <c r="G74" s="303"/>
      <c r="H74" s="303"/>
      <c r="I74" s="303"/>
      <c r="J74" s="303"/>
      <c r="K74" s="303"/>
      <c r="L74" s="303"/>
      <c r="M74" s="303"/>
      <c r="N74" s="303"/>
      <c r="O74" s="1281"/>
      <c r="P74" s="303"/>
      <c r="Q74" s="303"/>
      <c r="R74" s="303"/>
      <c r="S74" s="305" t="s">
        <v>2464</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8">
        <v>22.5</v>
      </c>
      <c r="C75" s="1268"/>
      <c r="D75" s="303" t="str">
        <f ca="1">Taal04!$B$183</f>
        <v>Bij het genereren van de deelnamecode voor de groepswedstrijden zijn er fouten geconstateerd. Controleer uw</v>
      </c>
      <c r="E75" s="303"/>
      <c r="F75" s="303"/>
      <c r="G75" s="303"/>
      <c r="H75" s="303"/>
      <c r="I75" s="303"/>
      <c r="J75" s="303"/>
      <c r="K75" s="303"/>
      <c r="L75" s="303"/>
      <c r="M75" s="303"/>
      <c r="N75" s="303"/>
      <c r="O75" s="1281"/>
      <c r="P75" s="303"/>
      <c r="Q75" s="303"/>
      <c r="R75" s="303"/>
      <c r="S75" s="305" t="s">
        <v>2465</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8">
        <v>22.6</v>
      </c>
      <c r="C76" s="1268"/>
      <c r="D76" s="303" t="str">
        <f ca="1">Taal04!$B$184</f>
        <v>invoer op het werkblad "Groepswedstrijden".</v>
      </c>
      <c r="E76" s="303"/>
      <c r="F76" s="303"/>
      <c r="G76" s="303"/>
      <c r="H76" s="303"/>
      <c r="I76" s="303"/>
      <c r="J76" s="303"/>
      <c r="K76" s="303"/>
      <c r="L76" s="303"/>
      <c r="M76" s="303"/>
      <c r="N76" s="303"/>
      <c r="O76" s="1281"/>
      <c r="P76" s="303"/>
      <c r="Q76" s="303"/>
      <c r="R76" s="303"/>
      <c r="S76" s="305" t="s">
        <v>2456</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8">
        <v>23</v>
      </c>
      <c r="C77" s="1268"/>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9">
        <v>25</v>
      </c>
      <c r="C78" s="1269"/>
      <c r="D78" s="302" t="str">
        <f ca="1">Taal04!$B$187&amp;":"</f>
        <v>Voorspellingen Eindstand in de Groep:</v>
      </c>
      <c r="E78" s="303"/>
      <c r="F78" s="303"/>
      <c r="G78" s="303"/>
      <c r="H78" s="303"/>
      <c r="I78" s="303"/>
      <c r="J78" s="303"/>
      <c r="K78" s="303"/>
      <c r="L78" s="303"/>
      <c r="M78" s="303"/>
      <c r="N78" s="303"/>
      <c r="O78" s="1281" t="s">
        <v>2425</v>
      </c>
      <c r="P78" s="303"/>
      <c r="Q78" s="303"/>
      <c r="R78" s="303"/>
      <c r="S78" s="303"/>
      <c r="T78" s="304" t="s">
        <v>2466</v>
      </c>
      <c r="U78" s="303"/>
      <c r="V78" s="303"/>
      <c r="W78" s="303"/>
      <c r="X78" s="303"/>
      <c r="Y78" s="303"/>
      <c r="Z78" s="303"/>
      <c r="AA78" s="72"/>
      <c r="AB78" s="303"/>
      <c r="AC78" s="303"/>
      <c r="AD78" s="303"/>
      <c r="AE78" s="303"/>
      <c r="AF78" s="303"/>
      <c r="AG78" s="303"/>
      <c r="AH78" s="303"/>
    </row>
    <row r="79" spans="2:34" hidden="1" x14ac:dyDescent="0.25">
      <c r="B79" s="1268">
        <v>26.1</v>
      </c>
      <c r="C79" s="1268"/>
      <c r="D79" s="303" t="str">
        <f ca="1">Taal04!$B$188</f>
        <v>Het genereren van de deelnamecode voor de eindstand in de groep is niet mogelijk in verband met het</v>
      </c>
      <c r="E79" s="303"/>
      <c r="F79" s="303"/>
      <c r="G79" s="303"/>
      <c r="H79" s="303"/>
      <c r="I79" s="303"/>
      <c r="J79" s="303"/>
      <c r="K79" s="303"/>
      <c r="L79" s="303"/>
      <c r="M79" s="303"/>
      <c r="N79" s="303"/>
      <c r="O79" s="1281"/>
      <c r="P79" s="303"/>
      <c r="Q79" s="303"/>
      <c r="R79" s="303"/>
      <c r="S79" s="305" t="s">
        <v>2467</v>
      </c>
      <c r="T79" s="311" t="str">
        <f ca="1">IF($N$54="E1e",'Eindstand Groep'!X57,0)</f>
        <v>DE.CH.HU.SC|ES.IT.HR.AL|GB.DK.RS.SI|FR.NL.AT.PL|BE.UA.SK.RO|PT.TR.CZ.GE|</v>
      </c>
      <c r="U79" s="303"/>
      <c r="V79" s="303"/>
      <c r="W79" s="303"/>
      <c r="X79" s="303"/>
      <c r="Y79" s="303"/>
      <c r="Z79" s="306">
        <f ca="1">IF(T86="NVT","",25)</f>
        <v>25</v>
      </c>
      <c r="AA79" s="72"/>
      <c r="AB79" s="302" t="s">
        <v>2468</v>
      </c>
      <c r="AC79" s="303"/>
      <c r="AD79" s="303"/>
      <c r="AE79" s="303"/>
      <c r="AF79" s="303"/>
      <c r="AG79" s="303"/>
      <c r="AH79" s="303"/>
    </row>
    <row r="80" spans="2:34" hidden="1" x14ac:dyDescent="0.25">
      <c r="B80" s="1268">
        <v>26.2</v>
      </c>
      <c r="C80" s="1268"/>
      <c r="D80" s="303" t="str">
        <f ca="1">Taal04!$B$189</f>
        <v>ontbreken van gegevens. Controleer of alle velden zijn ingevuld op het werkblad "Eindstand Groep".</v>
      </c>
      <c r="E80" s="303"/>
      <c r="F80" s="303"/>
      <c r="G80" s="303"/>
      <c r="H80" s="303"/>
      <c r="I80" s="303"/>
      <c r="J80" s="303"/>
      <c r="K80" s="303"/>
      <c r="L80" s="303"/>
      <c r="M80" s="303"/>
      <c r="N80" s="303"/>
      <c r="O80" s="1281"/>
      <c r="P80" s="303"/>
      <c r="Q80" s="303"/>
      <c r="R80" s="303"/>
      <c r="S80" s="305" t="s">
        <v>2452</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8">
        <v>27.1</v>
      </c>
      <c r="C81" s="1268"/>
      <c r="D81" s="303" t="str">
        <f ca="1">Taal04!$B$190</f>
        <v>Bij het genereren van de deelnamecode voor de eindstand in de groep is er een fout geconstateerd.</v>
      </c>
      <c r="E81" s="303"/>
      <c r="F81" s="303"/>
      <c r="G81" s="303"/>
      <c r="H81" s="303"/>
      <c r="I81" s="303"/>
      <c r="J81" s="303"/>
      <c r="K81" s="303"/>
      <c r="L81" s="303"/>
      <c r="M81" s="303"/>
      <c r="N81" s="303"/>
      <c r="O81" s="1281"/>
      <c r="P81" s="303"/>
      <c r="Q81" s="303"/>
      <c r="R81" s="303"/>
      <c r="S81" s="305" t="s">
        <v>2455</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8">
        <v>27.2</v>
      </c>
      <c r="C82" s="1268"/>
      <c r="D82" s="303" t="str">
        <f ca="1">Taal04!$B$191</f>
        <v>Controleer uw invoer op het werkblad "Eindstand Groep".</v>
      </c>
      <c r="E82" s="303"/>
      <c r="F82" s="303"/>
      <c r="G82" s="303"/>
      <c r="H82" s="303"/>
      <c r="I82" s="303"/>
      <c r="J82" s="303"/>
      <c r="K82" s="303"/>
      <c r="L82" s="303"/>
      <c r="M82" s="303"/>
      <c r="N82" s="303"/>
      <c r="O82" s="1281"/>
      <c r="P82" s="303"/>
      <c r="Q82" s="303"/>
      <c r="R82" s="303"/>
      <c r="S82" s="305" t="s">
        <v>2462</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8">
        <v>27.5</v>
      </c>
      <c r="C83" s="1268"/>
      <c r="D83" s="303" t="str">
        <f ca="1">Taal04!$B$192</f>
        <v>Bij het genereren van de deelnamecode voor de eindstand in de groep zijn er fouten geconstateerd.</v>
      </c>
      <c r="E83" s="303"/>
      <c r="F83" s="303"/>
      <c r="G83" s="303"/>
      <c r="H83" s="303"/>
      <c r="I83" s="303"/>
      <c r="J83" s="303"/>
      <c r="K83" s="303"/>
      <c r="L83" s="303"/>
      <c r="M83" s="303"/>
      <c r="N83" s="303"/>
      <c r="O83" s="1281"/>
      <c r="P83" s="303"/>
      <c r="Q83" s="303"/>
      <c r="R83" s="303"/>
      <c r="S83" s="305" t="s">
        <v>2469</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8">
        <v>27.6</v>
      </c>
      <c r="C84" s="1268"/>
      <c r="D84" s="303" t="str">
        <f ca="1">Taal04!$B$193</f>
        <v>Controleer uw invoer op het werkblad "Eindstand Groep".</v>
      </c>
      <c r="E84" s="303"/>
      <c r="F84" s="303"/>
      <c r="G84" s="303"/>
      <c r="H84" s="303"/>
      <c r="I84" s="303"/>
      <c r="J84" s="303"/>
      <c r="K84" s="303"/>
      <c r="L84" s="303"/>
      <c r="M84" s="303"/>
      <c r="N84" s="303"/>
      <c r="O84" s="1281"/>
      <c r="P84" s="303"/>
      <c r="Q84" s="303"/>
      <c r="R84" s="303"/>
      <c r="S84" s="305" t="s">
        <v>2464</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8">
        <v>28</v>
      </c>
      <c r="C85" s="1268"/>
      <c r="D85" s="303" t="str">
        <f ca="1">Taal04!$B$194</f>
        <v>De deelnamecode voor de eindstand in de groep is zonder foutmeldingen gegenereerd.</v>
      </c>
      <c r="E85" s="303"/>
      <c r="F85" s="303"/>
      <c r="G85" s="303"/>
      <c r="H85" s="303"/>
      <c r="I85" s="303"/>
      <c r="J85" s="303"/>
      <c r="K85" s="303"/>
      <c r="L85" s="303"/>
      <c r="M85" s="303"/>
      <c r="N85" s="303"/>
      <c r="O85" s="1281"/>
      <c r="P85" s="303"/>
      <c r="Q85" s="303"/>
      <c r="R85" s="303"/>
      <c r="S85" s="305" t="s">
        <v>2465</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9">
        <v>30</v>
      </c>
      <c r="C86" s="1269"/>
      <c r="D86" s="302" t="str">
        <f ca="1">Taal04!$B$196&amp;":"</f>
        <v>Voorspellingen Finalewedstrijden:</v>
      </c>
      <c r="E86" s="303"/>
      <c r="F86" s="303"/>
      <c r="G86" s="303"/>
      <c r="H86" s="303"/>
      <c r="I86" s="303"/>
      <c r="J86" s="303"/>
      <c r="K86" s="303"/>
      <c r="L86" s="303"/>
      <c r="M86" s="303"/>
      <c r="N86" s="303"/>
      <c r="O86" s="1281"/>
      <c r="P86" s="303"/>
      <c r="Q86" s="303"/>
      <c r="R86" s="303"/>
      <c r="S86" s="305" t="s">
        <v>2456</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8">
        <v>31.1</v>
      </c>
      <c r="C87" s="1268"/>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2470</v>
      </c>
      <c r="AC87" s="303"/>
      <c r="AD87" s="303"/>
      <c r="AE87" s="303"/>
      <c r="AF87" s="303"/>
      <c r="AG87" s="303"/>
      <c r="AH87" s="303"/>
    </row>
    <row r="88" spans="2:34" hidden="1" x14ac:dyDescent="0.25">
      <c r="B88" s="1268">
        <v>31.2</v>
      </c>
      <c r="C88" s="1268"/>
      <c r="D88" s="303" t="str">
        <f ca="1">Taal04!$B$198</f>
        <v>van gegevens. Controleer of alle velden zijn ingevuld op het werkblad "Finalewedstrijden".</v>
      </c>
      <c r="E88" s="303"/>
      <c r="F88" s="303"/>
      <c r="G88" s="303"/>
      <c r="H88" s="303"/>
      <c r="I88" s="303"/>
      <c r="J88" s="303"/>
      <c r="K88" s="303"/>
      <c r="L88" s="303"/>
      <c r="M88" s="303"/>
      <c r="N88" s="303"/>
      <c r="O88" s="1281" t="s">
        <v>2425</v>
      </c>
      <c r="P88" s="303"/>
      <c r="Q88" s="303"/>
      <c r="R88" s="303"/>
      <c r="S88" s="303"/>
      <c r="T88" s="304" t="s">
        <v>2471</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8">
        <v>32.1</v>
      </c>
      <c r="C89" s="1268"/>
      <c r="D89" s="303" t="str">
        <f ca="1">Taal04!$B$199</f>
        <v>Bij het genereren van de deelnamecode voor de finalewedstrijden is er een fout geconstateerd. Controleer uw</v>
      </c>
      <c r="E89" s="303"/>
      <c r="F89" s="303"/>
      <c r="G89" s="303"/>
      <c r="H89" s="303"/>
      <c r="I89" s="303"/>
      <c r="J89" s="303"/>
      <c r="K89" s="303"/>
      <c r="L89" s="303"/>
      <c r="M89" s="303"/>
      <c r="N89" s="303"/>
      <c r="O89" s="1281"/>
      <c r="P89" s="303"/>
      <c r="Q89" s="303"/>
      <c r="R89" s="303"/>
      <c r="S89" s="305" t="s">
        <v>2472</v>
      </c>
      <c r="T89" s="303" t="str">
        <f ca="1">IF($N$55="F1e",Finalewedstrijden!AN71,IF($N$55="F2e",#REF!,IF($N$55="F3e",#REF!,0)))</f>
        <v>CHIT02|DEDK31|GBAT41|ESCZ30|NLUA21|PTHR21|BERS10|FRTR31|ESDE12|PTNL20|GBIT31|BEFR02|DEPT01|FRGB21|PTFR13|</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8">
        <v>32.200000000000003</v>
      </c>
      <c r="C90" s="1268"/>
      <c r="D90" s="303" t="str">
        <f ca="1">Taal04!$B$200</f>
        <v>invoer op het werkblad "Finalewedstrijden".</v>
      </c>
      <c r="E90" s="303"/>
      <c r="F90" s="303"/>
      <c r="G90" s="303"/>
      <c r="H90" s="303"/>
      <c r="I90" s="303"/>
      <c r="J90" s="303"/>
      <c r="K90" s="303"/>
      <c r="L90" s="303"/>
      <c r="M90" s="303"/>
      <c r="N90" s="303"/>
      <c r="O90" s="1281"/>
      <c r="P90" s="303"/>
      <c r="Q90" s="303"/>
      <c r="R90" s="303"/>
      <c r="S90" s="305" t="s">
        <v>2452</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8">
        <v>32.5</v>
      </c>
      <c r="C91" s="1268"/>
      <c r="D91" s="303" t="str">
        <f ca="1">Taal04!$B$201</f>
        <v>Bij het genereren van de deelnamecode voor de finalewedstrijden zijn er fouten geconstateerd. Controleer uw</v>
      </c>
      <c r="E91" s="303"/>
      <c r="F91" s="303"/>
      <c r="G91" s="303"/>
      <c r="H91" s="303"/>
      <c r="I91" s="303"/>
      <c r="J91" s="303"/>
      <c r="K91" s="303"/>
      <c r="L91" s="303"/>
      <c r="M91" s="303"/>
      <c r="N91" s="303"/>
      <c r="O91" s="1281"/>
      <c r="P91" s="303"/>
      <c r="Q91" s="303"/>
      <c r="R91" s="303"/>
      <c r="S91" s="305" t="s">
        <v>2455</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8">
        <v>32.6</v>
      </c>
      <c r="C92" s="1268"/>
      <c r="D92" s="303" t="str">
        <f ca="1">Taal04!$B$202</f>
        <v>invoer op het werkblad "Finalewedstrijden".</v>
      </c>
      <c r="E92" s="303"/>
      <c r="F92" s="303"/>
      <c r="G92" s="303"/>
      <c r="H92" s="303"/>
      <c r="I92" s="303"/>
      <c r="J92" s="303"/>
      <c r="K92" s="303"/>
      <c r="L92" s="303"/>
      <c r="M92" s="303"/>
      <c r="N92" s="303"/>
      <c r="O92" s="1281"/>
      <c r="P92" s="303"/>
      <c r="Q92" s="303"/>
      <c r="R92" s="303"/>
      <c r="S92" s="305" t="s">
        <v>2462</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8">
        <v>33</v>
      </c>
      <c r="C93" s="1268"/>
      <c r="D93" s="303" t="str">
        <f ca="1">Taal04!$B$203</f>
        <v>De deelnamecode voor de finalewedstrijden is zonder foutmeldingen gegenereerd.</v>
      </c>
      <c r="E93" s="303"/>
      <c r="F93" s="303"/>
      <c r="G93" s="303"/>
      <c r="H93" s="303"/>
      <c r="I93" s="303"/>
      <c r="J93" s="303"/>
      <c r="K93" s="303"/>
      <c r="L93" s="303"/>
      <c r="M93" s="303"/>
      <c r="N93" s="303"/>
      <c r="O93" s="1281"/>
      <c r="P93" s="303"/>
      <c r="Q93" s="303"/>
      <c r="R93" s="303"/>
      <c r="S93" s="305" t="s">
        <v>2463</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9">
        <v>40</v>
      </c>
      <c r="C94" s="1269"/>
      <c r="D94" s="302" t="str">
        <f ca="1">Taal04!$B$205&amp;":"</f>
        <v>Voorspelling Winnaar EURO 2024:</v>
      </c>
      <c r="E94" s="303"/>
      <c r="F94" s="303"/>
      <c r="G94" s="303"/>
      <c r="H94" s="303"/>
      <c r="I94" s="303"/>
      <c r="J94" s="303"/>
      <c r="K94" s="303"/>
      <c r="L94" s="303"/>
      <c r="M94" s="303"/>
      <c r="N94" s="303"/>
      <c r="O94" s="1281"/>
      <c r="P94" s="303"/>
      <c r="Q94" s="303"/>
      <c r="R94" s="303"/>
      <c r="S94" s="305" t="s">
        <v>2464</v>
      </c>
      <c r="T94" s="419">
        <f ca="1">IF($N$55="F1e",COUNTIF(Finalewedstrijden!AK14:AO56,"ONGELDIG"),IF($N$55="F2e",COUNTIF(#REF!,"ONGELDIG"),IF($N$55="F3e",COUNTIF(#REF!,"ONGELDIG"),0)))-IF(Z94="A",0,W94)</f>
        <v>0</v>
      </c>
      <c r="U94" s="303"/>
      <c r="V94" s="305" t="s">
        <v>2469</v>
      </c>
      <c r="W94" s="419">
        <f ca="1">IF(Z94="A",0,IF($N$55="F1e",COUNTIF(Finalewedstrijden!AH15:AJ57,"DUBBEL"),IF($N$55="F2e",COUNTIF(#REF!,"DUBBEL"),IF($N$55="F3e",COUNTIF(#REF!,"DUBBEL"),0))))</f>
        <v>0</v>
      </c>
      <c r="X94" s="303"/>
      <c r="Y94" s="305" t="s">
        <v>2473</v>
      </c>
      <c r="Z94" s="76" t="str">
        <f>Reglement!$G$130</f>
        <v>B</v>
      </c>
      <c r="AA94" s="72"/>
      <c r="AB94" s="72"/>
      <c r="AC94" s="72"/>
      <c r="AD94" s="72"/>
      <c r="AE94" s="72"/>
      <c r="AF94" s="72"/>
      <c r="AG94" s="72"/>
      <c r="AH94" s="72"/>
    </row>
    <row r="95" spans="2:34" hidden="1" x14ac:dyDescent="0.25">
      <c r="B95" s="1268">
        <v>41.1</v>
      </c>
      <c r="C95" s="1268"/>
      <c r="D95" s="303" t="str">
        <f ca="1">Taal04!$B$206</f>
        <v>Het genereren van de deelnamecode voor de winnaar van het EK is niet mogelijk in verband met het ontbreken</v>
      </c>
      <c r="E95" s="303"/>
      <c r="F95" s="303"/>
      <c r="G95" s="303"/>
      <c r="H95" s="303"/>
      <c r="I95" s="303"/>
      <c r="J95" s="303"/>
      <c r="K95" s="303"/>
      <c r="L95" s="303"/>
      <c r="M95" s="303"/>
      <c r="N95" s="303"/>
      <c r="O95" s="1281"/>
      <c r="P95" s="303"/>
      <c r="Q95" s="303"/>
      <c r="R95" s="303"/>
      <c r="S95" s="305" t="s">
        <v>2465</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8">
        <v>41.2</v>
      </c>
      <c r="C96" s="1268"/>
      <c r="D96" s="303" t="str">
        <f ca="1">Taal04!$B$207</f>
        <v>van gegevens. Voorspel de winnaar van het EK op het werkblad "Finalewedstrijden".</v>
      </c>
      <c r="E96" s="303"/>
      <c r="F96" s="303"/>
      <c r="G96" s="303"/>
      <c r="H96" s="303"/>
      <c r="I96" s="303"/>
      <c r="J96" s="303"/>
      <c r="K96" s="303"/>
      <c r="L96" s="303"/>
      <c r="M96" s="303"/>
      <c r="N96" s="303"/>
      <c r="O96" s="1281"/>
      <c r="P96" s="303"/>
      <c r="Q96" s="303"/>
      <c r="R96" s="303"/>
      <c r="S96" s="305" t="s">
        <v>2456</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8">
        <v>42.1</v>
      </c>
      <c r="C97" s="1268"/>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8">
        <v>42.2</v>
      </c>
      <c r="C98" s="1268"/>
      <c r="D98" s="303" t="str">
        <f ca="1">Taal04!$B$209</f>
        <v>uw invoer op het werkblad "Finalewedstrijden".</v>
      </c>
      <c r="E98" s="303"/>
      <c r="F98" s="303"/>
      <c r="G98" s="303"/>
      <c r="H98" s="303"/>
      <c r="I98" s="303"/>
      <c r="J98" s="303"/>
      <c r="K98" s="303"/>
      <c r="L98" s="303"/>
      <c r="M98" s="303"/>
      <c r="N98" s="303"/>
      <c r="O98" s="72"/>
      <c r="P98" s="303"/>
      <c r="Q98" s="303"/>
      <c r="R98" s="303"/>
      <c r="S98" s="303"/>
      <c r="T98" s="304" t="s">
        <v>2474</v>
      </c>
      <c r="U98" s="303"/>
      <c r="V98" s="303"/>
      <c r="W98" s="303"/>
      <c r="X98" s="303"/>
      <c r="Y98" s="303"/>
      <c r="Z98" s="303"/>
      <c r="AA98" s="72"/>
      <c r="AB98" s="72"/>
      <c r="AC98" s="72"/>
      <c r="AD98" s="72"/>
      <c r="AE98" s="72"/>
      <c r="AF98" s="72"/>
      <c r="AG98" s="72"/>
      <c r="AH98" s="72"/>
    </row>
    <row r="99" spans="2:34" hidden="1" x14ac:dyDescent="0.25">
      <c r="B99" s="1268">
        <v>43</v>
      </c>
      <c r="C99" s="1268"/>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2475</v>
      </c>
      <c r="T99" s="76" t="str">
        <f ca="1">IF($N$55="F1e",Finalewedstrijden!AO59,IF($N$55="F2e",#REF!,IF($N$55="F3e",#REF!,0)))</f>
        <v>FR|</v>
      </c>
      <c r="U99" s="303"/>
      <c r="V99" s="303"/>
      <c r="W99" s="303"/>
      <c r="X99" s="303"/>
      <c r="Y99" s="303"/>
      <c r="Z99" s="306">
        <v>40</v>
      </c>
      <c r="AA99" s="72"/>
      <c r="AB99" s="72"/>
      <c r="AC99" s="72"/>
      <c r="AD99" s="72"/>
      <c r="AE99" s="72"/>
      <c r="AF99" s="72"/>
      <c r="AG99" s="72"/>
      <c r="AH99" s="72"/>
    </row>
    <row r="100" spans="2:34" hidden="1" x14ac:dyDescent="0.25">
      <c r="B100" s="1269">
        <v>50</v>
      </c>
      <c r="C100" s="1269"/>
      <c r="D100" s="302" t="str">
        <f ca="1">Taal04!$B$212&amp;":"</f>
        <v>Bonusvragen:</v>
      </c>
      <c r="E100" s="303"/>
      <c r="F100" s="303"/>
      <c r="G100" s="303"/>
      <c r="H100" s="303"/>
      <c r="I100" s="303"/>
      <c r="J100" s="303"/>
      <c r="K100" s="303"/>
      <c r="L100" s="303"/>
      <c r="M100" s="303"/>
      <c r="N100" s="303"/>
      <c r="O100" s="72"/>
      <c r="P100" s="303"/>
      <c r="Q100" s="303"/>
      <c r="R100" s="303"/>
      <c r="S100" s="305" t="s">
        <v>2452</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8">
        <v>51.1</v>
      </c>
      <c r="C101" s="1268"/>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2455</v>
      </c>
      <c r="T101" s="76" t="str">
        <f ca="1">IF(LEN(T99)=3,"GOED",IF(LEN(T99)=4,"LEEG","FOUT"))</f>
        <v>GOED</v>
      </c>
      <c r="U101" s="324" t="s">
        <v>2476</v>
      </c>
      <c r="V101" s="303"/>
      <c r="W101" s="303"/>
      <c r="X101" s="303"/>
      <c r="Y101" s="303"/>
      <c r="Z101" s="303" t="str">
        <f ca="1">IF(Z100-FLOOR(Z100,1)&gt;0,Z100+0.1,"")</f>
        <v/>
      </c>
      <c r="AA101" s="72"/>
      <c r="AB101" s="72"/>
      <c r="AC101" s="72"/>
      <c r="AD101" s="72"/>
      <c r="AE101" s="72"/>
      <c r="AF101" s="72"/>
      <c r="AG101" s="72"/>
      <c r="AH101" s="72"/>
    </row>
    <row r="102" spans="2:34" hidden="1" x14ac:dyDescent="0.25">
      <c r="B102" s="1268">
        <v>51.2</v>
      </c>
      <c r="C102" s="1268"/>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2456</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8">
        <v>52.1</v>
      </c>
      <c r="C103" s="1268"/>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8">
        <v>52.2</v>
      </c>
      <c r="C104" s="1268"/>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2477</v>
      </c>
      <c r="U104" s="303"/>
      <c r="V104" s="303"/>
      <c r="W104" s="303"/>
      <c r="X104" s="303"/>
      <c r="Y104" s="303"/>
      <c r="Z104" s="303"/>
      <c r="AA104" s="72"/>
      <c r="AB104" s="72"/>
      <c r="AC104" s="72"/>
      <c r="AD104" s="72"/>
      <c r="AE104" s="72"/>
      <c r="AF104" s="72"/>
      <c r="AG104" s="72"/>
      <c r="AH104" s="72"/>
    </row>
    <row r="105" spans="2:34" hidden="1" x14ac:dyDescent="0.25">
      <c r="B105" s="1268">
        <v>52.5</v>
      </c>
      <c r="C105" s="1268"/>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2478</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8">
        <v>52.6</v>
      </c>
      <c r="C106" s="1268"/>
      <c r="D106" s="303" t="str">
        <f ca="1">Taal04!$B$218</f>
        <v>invoer op het werkblad "Bonusvragen".</v>
      </c>
      <c r="E106" s="303"/>
      <c r="F106" s="303"/>
      <c r="G106" s="303"/>
      <c r="H106" s="303"/>
      <c r="I106" s="303"/>
      <c r="J106" s="303"/>
      <c r="K106" s="303"/>
      <c r="L106" s="303"/>
      <c r="M106" s="303"/>
      <c r="N106" s="303"/>
      <c r="O106" s="72"/>
      <c r="P106" s="303"/>
      <c r="Q106" s="303"/>
      <c r="R106" s="303"/>
      <c r="S106" s="305" t="s">
        <v>2452</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8">
        <v>53</v>
      </c>
      <c r="C107" s="1268"/>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2455</v>
      </c>
      <c r="T107" s="76" t="str">
        <f>IF(LEN(T105)=45+X107+X108,"GOED",IF(LEN(T105)=66,"LEEG","FOUT"))</f>
        <v>FOUT</v>
      </c>
      <c r="U107" s="324" t="str">
        <f>45+X107+X108&amp;" = goed / 66 = leeg"</f>
        <v>45 = goed / 66 = leeg</v>
      </c>
      <c r="V107" s="303"/>
      <c r="W107" s="312" t="s">
        <v>2479</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9">
        <v>60</v>
      </c>
      <c r="C108" s="1269"/>
      <c r="D108" s="302" t="str">
        <f ca="1">Taal04!$B$221</f>
        <v>Teams</v>
      </c>
      <c r="E108" s="303"/>
      <c r="F108" s="303"/>
      <c r="G108" s="303"/>
      <c r="H108" s="303"/>
      <c r="I108" s="303"/>
      <c r="J108" s="303"/>
      <c r="K108" s="303"/>
      <c r="L108" s="303"/>
      <c r="M108" s="303"/>
      <c r="N108" s="303"/>
      <c r="O108" s="72"/>
      <c r="P108" s="303"/>
      <c r="Q108" s="303"/>
      <c r="R108" s="303"/>
      <c r="S108" s="305" t="s">
        <v>2462</v>
      </c>
      <c r="T108" s="76">
        <f>IF($N$59="B1e",#REF!,0)</f>
        <v>0</v>
      </c>
      <c r="U108" s="303"/>
      <c r="V108" s="303"/>
      <c r="W108" s="314" t="s">
        <v>2480</v>
      </c>
      <c r="X108" s="315" t="str">
        <f>SUBSTITUTE(LEFT(RIGHT(T105,3),2),"#","")</f>
        <v>0</v>
      </c>
      <c r="Y108" s="303"/>
      <c r="Z108" s="303"/>
      <c r="AA108" s="72"/>
      <c r="AB108" s="72"/>
      <c r="AC108" s="72"/>
      <c r="AD108" s="72"/>
      <c r="AE108" s="72"/>
      <c r="AF108" s="72"/>
      <c r="AG108" s="72"/>
      <c r="AH108" s="72"/>
    </row>
    <row r="109" spans="2:34" hidden="1" x14ac:dyDescent="0.25">
      <c r="B109" s="1268">
        <v>61.1</v>
      </c>
      <c r="C109" s="1268"/>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2464</v>
      </c>
      <c r="T109" s="76">
        <f>IF($N$59="B1e",#REF!,0)</f>
        <v>0</v>
      </c>
      <c r="U109" s="303"/>
      <c r="V109" s="303"/>
      <c r="W109" s="303"/>
      <c r="X109" s="303"/>
      <c r="Y109" s="303"/>
      <c r="Z109" s="303"/>
      <c r="AA109" s="72"/>
      <c r="AB109" s="72"/>
      <c r="AC109" s="72"/>
      <c r="AD109" s="72"/>
      <c r="AE109" s="72"/>
      <c r="AF109" s="72"/>
      <c r="AG109" s="72"/>
      <c r="AH109" s="72"/>
    </row>
    <row r="110" spans="2:34" hidden="1" x14ac:dyDescent="0.25">
      <c r="B110" s="1268">
        <v>61.2</v>
      </c>
      <c r="C110" s="1268"/>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2465</v>
      </c>
      <c r="T110" s="76">
        <f>IF($N$59="B1e",#REF!,0)</f>
        <v>0</v>
      </c>
      <c r="U110" s="303"/>
      <c r="V110" s="303"/>
      <c r="W110" s="303"/>
      <c r="X110" s="303"/>
      <c r="Y110" s="303"/>
      <c r="Z110" s="303"/>
      <c r="AA110" s="72"/>
      <c r="AB110" s="72"/>
      <c r="AC110" s="72"/>
      <c r="AD110" s="72"/>
      <c r="AE110" s="72"/>
      <c r="AF110" s="72"/>
      <c r="AG110" s="72"/>
      <c r="AH110" s="72"/>
    </row>
    <row r="111" spans="2:34" hidden="1" x14ac:dyDescent="0.25">
      <c r="B111" s="1268">
        <v>61.3</v>
      </c>
      <c r="C111" s="1268"/>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2456</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8">
        <v>62.1</v>
      </c>
      <c r="C112" s="1268"/>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8">
        <v>62.2</v>
      </c>
      <c r="C113" s="1268"/>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2481</v>
      </c>
      <c r="U113" s="303"/>
      <c r="V113" s="303"/>
      <c r="W113" s="303"/>
      <c r="X113" s="303"/>
      <c r="Y113" s="303"/>
      <c r="Z113" s="303"/>
      <c r="AA113" s="72"/>
      <c r="AB113" s="72"/>
      <c r="AC113" s="72"/>
      <c r="AD113" s="72"/>
      <c r="AE113" s="72"/>
      <c r="AF113" s="72"/>
      <c r="AG113" s="72"/>
      <c r="AH113" s="72"/>
    </row>
    <row r="114" spans="2:34" hidden="1" x14ac:dyDescent="0.25">
      <c r="B114" s="1268">
        <v>63</v>
      </c>
      <c r="C114" s="1268"/>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2482</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70">
        <v>88.8</v>
      </c>
      <c r="C115" s="1270"/>
      <c r="D115" s="303" t="str">
        <f>Voorblad!C15</f>
        <v/>
      </c>
      <c r="E115" s="303"/>
      <c r="F115" s="303"/>
      <c r="G115" s="303"/>
      <c r="H115" s="303"/>
      <c r="I115" s="303"/>
      <c r="J115" s="303"/>
      <c r="K115" s="303"/>
      <c r="L115" s="303"/>
      <c r="M115" s="303"/>
      <c r="N115" s="303"/>
      <c r="O115" s="72"/>
      <c r="P115" s="303"/>
      <c r="Q115" s="303"/>
      <c r="R115" s="303"/>
      <c r="S115" s="305" t="s">
        <v>2483</v>
      </c>
      <c r="T115" s="76">
        <f>IF(Teams!T3=1,Teams!Q212,0)</f>
        <v>0</v>
      </c>
      <c r="U115" s="303"/>
      <c r="V115" s="305" t="s">
        <v>2484</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9">
        <v>99.9</v>
      </c>
      <c r="C116" s="1269"/>
      <c r="D116" s="302" t="s">
        <v>2485</v>
      </c>
      <c r="E116" s="303"/>
      <c r="F116" s="303"/>
      <c r="G116" s="303"/>
      <c r="H116" s="303"/>
      <c r="I116" s="303"/>
      <c r="J116" s="303"/>
      <c r="K116" s="303"/>
      <c r="L116" s="303"/>
      <c r="M116" s="303"/>
      <c r="N116" s="303"/>
      <c r="O116" s="72"/>
      <c r="P116" s="303"/>
      <c r="Q116" s="303"/>
      <c r="R116" s="303"/>
      <c r="S116" s="305" t="s">
        <v>2456</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3" t="s">
        <v>2486</v>
      </c>
      <c r="C117" s="1263"/>
      <c r="D117" s="1263"/>
      <c r="E117" s="1263"/>
      <c r="F117" s="1263"/>
      <c r="G117" s="316" t="s">
        <v>2487</v>
      </c>
      <c r="H117" s="316" t="s">
        <v>2436</v>
      </c>
      <c r="I117" s="316" t="s">
        <v>2488</v>
      </c>
      <c r="J117" s="316" t="s">
        <v>2489</v>
      </c>
      <c r="K117" s="316" t="s">
        <v>2238</v>
      </c>
      <c r="L117" s="317"/>
      <c r="M117" s="317"/>
      <c r="N117" s="317"/>
      <c r="O117" s="72"/>
      <c r="P117" s="307"/>
      <c r="Q117" s="307"/>
      <c r="R117" s="307"/>
      <c r="S117" s="308"/>
      <c r="T117" s="307"/>
      <c r="U117" s="307"/>
      <c r="V117" s="307"/>
      <c r="W117" s="307"/>
      <c r="X117" s="308" t="s">
        <v>2490</v>
      </c>
      <c r="Y117" s="925">
        <f ca="1">COUNT(Z61:Z116)+COUNT(Y112:Y116)</f>
        <v>20</v>
      </c>
      <c r="Z117" s="309">
        <f ca="1">IF(Y117&lt;27,B116,"")</f>
        <v>99.9</v>
      </c>
      <c r="AA117" s="72"/>
      <c r="AB117" s="72"/>
      <c r="AC117" s="72"/>
      <c r="AD117" s="72"/>
      <c r="AE117" s="72"/>
      <c r="AF117" s="72"/>
      <c r="AG117" s="72"/>
      <c r="AH117" s="72"/>
    </row>
    <row r="118" spans="2:34" hidden="1" x14ac:dyDescent="0.25">
      <c r="B118" s="1263" t="str">
        <f ca="1">SUBSTITUTE(D63,":","")</f>
        <v>Gegevens Deelnemer</v>
      </c>
      <c r="C118" s="1263"/>
      <c r="D118" s="1263"/>
      <c r="E118" s="1263"/>
      <c r="F118" s="1263"/>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3" t="str">
        <f ca="1">SUBSTITUTE(D70,":","")</f>
        <v>Voorspellingen Groepswedstrijden</v>
      </c>
      <c r="C119" s="1263"/>
      <c r="D119" s="1263"/>
      <c r="E119" s="1263"/>
      <c r="F119" s="1263"/>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3" t="str">
        <f ca="1">SUBSTITUTE(D78,":","")</f>
        <v>Voorspellingen Eindstand in de Groep</v>
      </c>
      <c r="C120" s="1263"/>
      <c r="D120" s="1263"/>
      <c r="E120" s="1263"/>
      <c r="F120" s="1263"/>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3" t="str">
        <f ca="1">SUBSTITUTE(D86,":","")</f>
        <v>Voorspellingen Finalewedstrijden</v>
      </c>
      <c r="C121" s="1263"/>
      <c r="D121" s="1263"/>
      <c r="E121" s="1263"/>
      <c r="F121" s="1263"/>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3" t="str">
        <f ca="1">SUBSTITUTE(D94,":","")</f>
        <v>Voorspelling Winnaar EURO 2024</v>
      </c>
      <c r="C122" s="1263"/>
      <c r="D122" s="1263"/>
      <c r="E122" s="1263"/>
      <c r="F122" s="1263"/>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3" t="str">
        <f ca="1">SUBSTITUTE(D100,":","")</f>
        <v>Bonusvragen</v>
      </c>
      <c r="C123" s="1263"/>
      <c r="D123" s="1263"/>
      <c r="E123" s="1263"/>
      <c r="F123" s="1263"/>
      <c r="G123" s="316">
        <f>IF(T111="NVT",0,15)</f>
        <v>0</v>
      </c>
      <c r="H123" s="316">
        <f>IF(T111="NVT",0,T108)</f>
        <v>0</v>
      </c>
      <c r="I123" s="316">
        <f>IF(T111="NVT",0,T110)</f>
        <v>0</v>
      </c>
      <c r="J123" s="316">
        <f>IF(T111="NVT",0,T109)</f>
        <v>0</v>
      </c>
      <c r="K123" s="316" t="str">
        <f>IF(T111="NVT","GOED",T111)</f>
        <v>GOED</v>
      </c>
      <c r="L123" s="319" t="s">
        <v>2491</v>
      </c>
      <c r="M123" s="317"/>
      <c r="N123" s="317"/>
      <c r="O123" s="72"/>
      <c r="P123" s="1284">
        <f ca="1">LEN(S123)/3</f>
        <v>26</v>
      </c>
      <c r="Q123" s="1284"/>
      <c r="R123" s="1284"/>
      <c r="S123" s="1262"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62"/>
      <c r="U123" s="1262"/>
      <c r="V123" s="1262"/>
      <c r="W123" s="1262"/>
      <c r="X123" s="1262"/>
      <c r="Y123" s="1262"/>
      <c r="Z123" s="1262"/>
      <c r="AA123" s="72"/>
      <c r="AB123" s="72"/>
      <c r="AC123" s="72"/>
      <c r="AD123" s="72"/>
      <c r="AE123" s="72"/>
      <c r="AF123" s="72"/>
      <c r="AG123" s="72"/>
      <c r="AH123" s="72"/>
    </row>
    <row r="124" spans="2:34" hidden="1" x14ac:dyDescent="0.25">
      <c r="B124" s="1263" t="str">
        <f ca="1">SUBSTITUTE(D108,":","")</f>
        <v>Teams</v>
      </c>
      <c r="C124" s="1263"/>
      <c r="D124" s="1263"/>
      <c r="E124" s="1263"/>
      <c r="F124" s="1263"/>
      <c r="G124" s="316">
        <f>IF(T116="NVT",0,1)</f>
        <v>0</v>
      </c>
      <c r="H124" s="316">
        <f>IF(T116="NVT",0,0)</f>
        <v>0</v>
      </c>
      <c r="I124" s="316">
        <f>IF(T116="NVT",0,IF(T116="GOED",1,0))</f>
        <v>0</v>
      </c>
      <c r="J124" s="316">
        <f>IF(T116="NVT",0,IF(T116="GOED",0,1))</f>
        <v>0</v>
      </c>
      <c r="K124" s="316" t="str">
        <f>IF(T116="NVT","GOED",IF(T116="GOED","GOED","FOUT"))</f>
        <v>GOED</v>
      </c>
      <c r="L124" s="319" t="s">
        <v>2492</v>
      </c>
      <c r="M124" s="318"/>
      <c r="N124" s="317"/>
      <c r="O124" s="72"/>
      <c r="P124" s="924"/>
      <c r="Q124" s="924"/>
      <c r="R124" s="924"/>
      <c r="S124" s="1262"/>
      <c r="T124" s="1262"/>
      <c r="U124" s="1262"/>
      <c r="V124" s="1262"/>
      <c r="W124" s="1262"/>
      <c r="X124" s="1262"/>
      <c r="Y124" s="1262"/>
      <c r="Z124" s="1262"/>
      <c r="AA124" s="72"/>
      <c r="AB124" s="72"/>
      <c r="AC124" s="72"/>
      <c r="AD124" s="72"/>
      <c r="AE124" s="72"/>
      <c r="AF124" s="72"/>
      <c r="AG124" s="72"/>
      <c r="AH124" s="72"/>
    </row>
    <row r="125" spans="2:34" hidden="1" x14ac:dyDescent="0.25">
      <c r="B125" s="1263" t="s">
        <v>2177</v>
      </c>
      <c r="C125" s="1263"/>
      <c r="D125" s="1263"/>
      <c r="E125" s="1263"/>
      <c r="F125" s="1263"/>
      <c r="G125" s="316">
        <f ca="1">SUM(G118:G124)</f>
        <v>159</v>
      </c>
      <c r="H125" s="316">
        <f ca="1">SUM(H118:H124)</f>
        <v>0</v>
      </c>
      <c r="I125" s="316">
        <f ca="1">SUM(I118:I124)</f>
        <v>159</v>
      </c>
      <c r="J125" s="316">
        <f ca="1">SUM(J118:J124)</f>
        <v>0</v>
      </c>
      <c r="K125" s="316">
        <f ca="1">COUNTIF(K118:K124,"GOED")</f>
        <v>7</v>
      </c>
      <c r="L125" s="319" t="s">
        <v>2493</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2494</v>
      </c>
      <c r="C126" s="318"/>
      <c r="D126" s="318"/>
      <c r="E126" s="318"/>
      <c r="F126" s="2"/>
      <c r="G126" s="318"/>
      <c r="H126" s="318"/>
      <c r="I126" s="318"/>
      <c r="J126" s="318"/>
      <c r="K126" s="317">
        <f ca="1">IF(AND(G125=I125,H125=0,J125=0,K125=7),1,IF(H125&gt;0,IF(J125&gt;0,4,2),3))</f>
        <v>1</v>
      </c>
      <c r="L126" s="319" t="s">
        <v>2495</v>
      </c>
      <c r="M126" s="318"/>
      <c r="N126" s="318"/>
      <c r="O126" s="88"/>
      <c r="P126" s="88"/>
      <c r="Q126" s="88"/>
      <c r="R126" s="1276" t="s">
        <v>2258</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2496</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2497</v>
      </c>
      <c r="AC127" s="522"/>
      <c r="AD127" s="522"/>
      <c r="AE127" s="522"/>
      <c r="AF127" s="522"/>
      <c r="AG127" s="522"/>
      <c r="AH127" s="88"/>
    </row>
    <row r="128" spans="2:34" hidden="1" x14ac:dyDescent="0.25">
      <c r="B128" s="1277" t="str">
        <f ca="1">IF(K125&lt;4,Taal04!$B$231,Taal04!$B$230)</f>
        <v>De deelnamecode kan niet worden gegenereerd door het ontbreken van gegevens of foutieve waarden. Het gaat om het volgende onderdeel</v>
      </c>
      <c r="C128" s="1278"/>
      <c r="D128" s="1278"/>
      <c r="E128" s="1278"/>
      <c r="F128" s="1278"/>
      <c r="G128" s="1278"/>
      <c r="H128" s="1278"/>
      <c r="I128" s="1278"/>
      <c r="J128" s="1278"/>
      <c r="K128" s="1278"/>
      <c r="L128" s="1278"/>
      <c r="M128" s="1279"/>
      <c r="N128" s="322"/>
      <c r="O128" s="88"/>
      <c r="P128" s="88"/>
      <c r="Q128" s="88"/>
      <c r="R128" s="1287" t="s">
        <v>2185</v>
      </c>
      <c r="S128" s="1287"/>
      <c r="T128" s="1287"/>
      <c r="U128" s="1287"/>
      <c r="V128" s="1287"/>
      <c r="W128" s="1288"/>
      <c r="X128" s="109">
        <f>Reglement!Q81</f>
        <v>1</v>
      </c>
      <c r="Y128" s="142"/>
      <c r="Z128" s="88"/>
      <c r="AA128" s="522"/>
      <c r="AB128" s="1280" t="str">
        <f ca="1">Taal04!B233</f>
        <v>Dit deelname formulier betreft een demo-versie voor het EK 2024 in Duitsland. Het generenen van een deelnamecode is hierin uitgeschakeld ongeacht of alle onderdelen juist zijn ingevuld.</v>
      </c>
      <c r="AC128" s="1280"/>
      <c r="AD128" s="1280"/>
      <c r="AE128" s="1280"/>
      <c r="AF128" s="1280"/>
      <c r="AG128" s="522"/>
      <c r="AH128" s="88"/>
    </row>
    <row r="129" spans="2:34" hidden="1" x14ac:dyDescent="0.25">
      <c r="B129" s="1277" t="str">
        <f>": "</f>
        <v xml:space="preserve">: </v>
      </c>
      <c r="C129" s="1278"/>
      <c r="D129" s="1278"/>
      <c r="E129" s="1278"/>
      <c r="F129" s="1278"/>
      <c r="G129" s="1278"/>
      <c r="H129" s="1278"/>
      <c r="I129" s="1278"/>
      <c r="J129" s="1278"/>
      <c r="K129" s="1278"/>
      <c r="L129" s="1278"/>
      <c r="M129" s="1279"/>
      <c r="N129" s="322"/>
      <c r="O129" s="88"/>
      <c r="P129" s="88"/>
      <c r="Q129" s="88"/>
      <c r="R129" s="1282" t="str">
        <f ca="1">Taal04!B232</f>
        <v>De deelnamecode kan niet worden gegenereerd door het ontbreken van het reglement. Vraag uw organisator om het reglement toe te voegen aan uw deelname formulier.</v>
      </c>
      <c r="S129" s="1282"/>
      <c r="T129" s="1282"/>
      <c r="U129" s="1282"/>
      <c r="V129" s="1282"/>
      <c r="W129" s="1282"/>
      <c r="X129" s="1282"/>
      <c r="Y129" s="1282"/>
      <c r="Z129" s="88"/>
      <c r="AA129" s="522"/>
      <c r="AB129" s="1280"/>
      <c r="AC129" s="1280"/>
      <c r="AD129" s="1280"/>
      <c r="AE129" s="1280"/>
      <c r="AF129" s="1280"/>
      <c r="AG129" s="522"/>
      <c r="AH129" s="88"/>
    </row>
    <row r="130" spans="2:34" ht="15" hidden="1" customHeight="1" x14ac:dyDescent="0.25">
      <c r="B130" s="1285" t="str">
        <f>IF(K118="GOED","",B118)</f>
        <v/>
      </c>
      <c r="C130" s="1285"/>
      <c r="D130" s="1285"/>
      <c r="E130" s="1285"/>
      <c r="F130" s="1285"/>
      <c r="G130" s="1285"/>
      <c r="H130" s="52" t="str">
        <f>IF(B130="","",IF(AND(B131="",B132="",I130="",I131="",I132="",I133=""),"",", "))</f>
        <v/>
      </c>
      <c r="I130" s="1285" t="str">
        <f ca="1">IF(K121="GOED","",B121)</f>
        <v/>
      </c>
      <c r="J130" s="1285"/>
      <c r="K130" s="1285"/>
      <c r="L130" s="1285"/>
      <c r="M130" s="52" t="str">
        <f ca="1">IF(I130="","",IF(AND(I131="",I132="",I133=""),"",", "))</f>
        <v/>
      </c>
      <c r="N130" s="322"/>
      <c r="O130" s="88"/>
      <c r="P130" s="88"/>
      <c r="Q130" s="88"/>
      <c r="R130" s="1282"/>
      <c r="S130" s="1282"/>
      <c r="T130" s="1282"/>
      <c r="U130" s="1282"/>
      <c r="V130" s="1282"/>
      <c r="W130" s="1282"/>
      <c r="X130" s="1282"/>
      <c r="Y130" s="1282"/>
      <c r="Z130" s="88"/>
      <c r="AA130" s="522"/>
      <c r="AB130" s="1280"/>
      <c r="AC130" s="1280"/>
      <c r="AD130" s="1280"/>
      <c r="AE130" s="1280"/>
      <c r="AF130" s="1280"/>
      <c r="AG130" s="522"/>
      <c r="AH130" s="88"/>
    </row>
    <row r="131" spans="2:34" ht="15" hidden="1" customHeight="1" x14ac:dyDescent="0.25">
      <c r="B131" s="1285" t="str">
        <f ca="1">IF(K119="GOED","",B119)</f>
        <v/>
      </c>
      <c r="C131" s="1285"/>
      <c r="D131" s="1285"/>
      <c r="E131" s="1285"/>
      <c r="F131" s="1285"/>
      <c r="G131" s="1285"/>
      <c r="H131" s="52" t="str">
        <f ca="1">IF(B131="","",IF(AND(B132="",I130="",I131="",I132="",I133=""),"",", "))</f>
        <v/>
      </c>
      <c r="I131" s="1285" t="str">
        <f ca="1">IF(K122="GOED","",B122)</f>
        <v/>
      </c>
      <c r="J131" s="1285"/>
      <c r="K131" s="1285"/>
      <c r="L131" s="1285"/>
      <c r="M131" s="52" t="str">
        <f ca="1">IF(I131="","",IF(AND(I132="",I133=""),"",", "))</f>
        <v/>
      </c>
      <c r="N131" s="322"/>
      <c r="O131" s="88"/>
      <c r="P131" s="88"/>
      <c r="Q131" s="88"/>
      <c r="R131" s="80"/>
      <c r="S131" s="80"/>
      <c r="T131" s="80"/>
      <c r="U131" s="80"/>
      <c r="V131" s="80"/>
      <c r="W131" s="80"/>
      <c r="X131" s="80"/>
      <c r="Y131" s="80"/>
      <c r="Z131" s="88"/>
      <c r="AA131" s="522"/>
      <c r="AB131" s="1280"/>
      <c r="AC131" s="1280"/>
      <c r="AD131" s="1280"/>
      <c r="AE131" s="1280"/>
      <c r="AF131" s="1280"/>
      <c r="AG131" s="522"/>
      <c r="AH131" s="88"/>
    </row>
    <row r="132" spans="2:34" hidden="1" x14ac:dyDescent="0.25">
      <c r="B132" s="1285" t="str">
        <f ca="1">IF(K120="GOED","",B120)</f>
        <v/>
      </c>
      <c r="C132" s="1285"/>
      <c r="D132" s="1285"/>
      <c r="E132" s="1285"/>
      <c r="F132" s="1285"/>
      <c r="G132" s="1285"/>
      <c r="H132" s="52" t="str">
        <f ca="1">IF(B132="","",IF(AND(I130="",I131="",I132="",I133=""),"",", "))</f>
        <v/>
      </c>
      <c r="I132" s="1285" t="str">
        <f>IF(K123="GOED","",B123)</f>
        <v/>
      </c>
      <c r="J132" s="1285"/>
      <c r="K132" s="1285"/>
      <c r="L132" s="1285"/>
      <c r="M132" s="52" t="str">
        <f>IF(I132="","",IF(I133="","",", "))</f>
        <v/>
      </c>
      <c r="N132" s="322"/>
      <c r="O132" s="88"/>
      <c r="P132" s="88"/>
      <c r="Q132" s="88"/>
      <c r="R132" s="1286" t="s">
        <v>2001</v>
      </c>
      <c r="S132" s="1286"/>
      <c r="T132" s="1286"/>
      <c r="U132" s="1286"/>
      <c r="V132" s="1286"/>
      <c r="W132" s="1286"/>
      <c r="X132" s="1286"/>
      <c r="Y132" s="1286"/>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85" t="str">
        <f>IF(K124="GOED","",B124)</f>
        <v/>
      </c>
      <c r="J133" s="1285"/>
      <c r="K133" s="1285"/>
      <c r="L133" s="1285"/>
      <c r="M133" s="52" t="s">
        <v>2498</v>
      </c>
      <c r="N133" s="322"/>
      <c r="O133" s="88"/>
      <c r="P133" s="88"/>
      <c r="Q133" s="88"/>
      <c r="R133" s="1286"/>
      <c r="S133" s="1286"/>
      <c r="T133" s="1286"/>
      <c r="U133" s="1286"/>
      <c r="V133" s="1286"/>
      <c r="W133" s="1286"/>
      <c r="X133" s="1286"/>
      <c r="Y133" s="1286"/>
      <c r="Z133" s="88"/>
      <c r="AA133" s="522"/>
      <c r="AB133" s="523" t="s">
        <v>2499</v>
      </c>
      <c r="AC133" s="522"/>
      <c r="AD133" s="522"/>
      <c r="AE133" s="522"/>
      <c r="AF133" s="109">
        <f>Reglement!$G$140</f>
        <v>2</v>
      </c>
      <c r="AG133" s="522"/>
      <c r="AH133" s="88"/>
    </row>
    <row r="134" spans="2:34" hidden="1" x14ac:dyDescent="0.25">
      <c r="B134" s="321" t="s">
        <v>2500</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30|12|20|30|12|01|02|02|21|03|31|31|20|20|12|12|20|11|01|11|02|02|14|20|12|01|04|11|21|40|30|21|21|12|05|22|DE.CH.HU.SC|ES.IT.HR.AL|GB.DK.RS.SI|FR.NL.AT.PL|BE.UA.SK.RO|PT.TR.CZ.GE|CHIT02|DEDK31|GBAT41|ESCZ30|NLUA21|PTHR21|BERS10|FRTR31|ESDE12|PTNL20|GBIT31|BEFR02|DEPT01|FRGB21|PTFR13|FR||Carmen#*Schalks#*(Bisbee)25||c.schalks@bisbee.nl19]</v>
      </c>
      <c r="AC134" s="819"/>
      <c r="AD134" s="819"/>
      <c r="AE134" s="522"/>
      <c r="AF134" s="522"/>
      <c r="AG134" s="522"/>
      <c r="AH134" s="88"/>
    </row>
    <row r="135" spans="2:34" hidden="1" x14ac:dyDescent="0.25">
      <c r="B135" s="1277" t="str">
        <f ca="1">IF(OR(F134=1,AF133=3),AB128,V134&amp;T69&amp;IF(T86="NVT","",T79)&amp;T89&amp;T99&amp;T62&amp;"|"&amp;IF(T111="NVT","",T105)&amp;IF(AD66="GOED",AD62&amp;"]","")&amp;IF(T116="NVT","",T114)&amp;IF(AF133=0,"BETA",""))</f>
        <v>|dh|30|12|20|30|12|01|02|02|21|03|31|31|20|20|12|12|20|11|01|11|02|02|14|20|12|01|04|11|21|40|30|21|21|12|05|22|DE.CH.HU.SC|ES.IT.HR.AL|GB.DK.RS.SI|FR.NL.AT.PL|BE.UA.SK.RO|PT.TR.CZ.GE|CHIT02|DEDK31|GBAT41|ESCZ30|NLUA21|PTHR21|BERS10|FRTR31|ESDE12|PTNL20|GBIT31|BEFR02|DEPT01|FRGB21|PTFR13|FR||Carmen#*Schalks#*(Bisbee)25||c.schalks@bisbee.nl19]</v>
      </c>
      <c r="C135" s="1278"/>
      <c r="D135" s="1278"/>
      <c r="E135" s="1278"/>
      <c r="F135" s="1278"/>
      <c r="G135" s="1278"/>
      <c r="H135" s="1278"/>
      <c r="I135" s="1278"/>
      <c r="J135" s="1278"/>
      <c r="K135" s="1278"/>
      <c r="L135" s="1278"/>
      <c r="M135" s="1278"/>
      <c r="N135" s="1279"/>
      <c r="O135" s="88"/>
      <c r="P135" s="88"/>
      <c r="Q135" s="88"/>
      <c r="R135" s="80"/>
      <c r="S135" s="80"/>
      <c r="T135" s="80"/>
      <c r="U135" s="80"/>
      <c r="V135" s="80"/>
      <c r="W135" s="80"/>
      <c r="X135" s="80"/>
      <c r="Y135" s="80"/>
      <c r="Z135" s="88"/>
      <c r="AA135" s="522"/>
      <c r="AB135" s="522"/>
      <c r="AC135" s="522"/>
      <c r="AD135" s="522"/>
      <c r="AE135" s="522"/>
      <c r="AF135" s="524" t="s">
        <v>2098</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30|12|20|30|12|01|02|02|21|03|31|31|20|20|12|12|20|11|01|11|02|02|14|20|12|01|04|11|21|40|30|21|21|12|05|22|DE.CH.HU.SC|ES.IT.HR.AL|GB.DK.RS.SI|FR.NL.AT.PL|BE.UA.SK.RO|PT.TR.CZ.GE|CHIT02|DEDK31|GBAT41|ESCZ30|NLUA21|PTHR21|BERS10|FRTR31|ESDE12|PTNL20|GBIT31|BEFR02|DEPT01|FRGB21|PTFR13|FR||Carmen#*Schalks#*(Bisbee)25||c.schalks@bisbee.nl19]</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0</v>
      </c>
      <c r="C1" s="557">
        <f>Taal01!$C$1</f>
        <v>1</v>
      </c>
      <c r="D1" s="822"/>
    </row>
    <row r="2" spans="1:6" s="555" customFormat="1" x14ac:dyDescent="0.25">
      <c r="A2" s="556" t="s">
        <v>1</v>
      </c>
      <c r="C2" s="557">
        <f>$C$1+2</f>
        <v>3</v>
      </c>
      <c r="D2" s="822"/>
    </row>
    <row r="3" spans="1:6" s="530" customFormat="1" x14ac:dyDescent="0.25">
      <c r="A3" s="529" t="s">
        <v>2</v>
      </c>
      <c r="B3" s="796" t="s">
        <v>3</v>
      </c>
      <c r="C3" s="530" t="s">
        <v>4</v>
      </c>
      <c r="D3" s="530" t="s">
        <v>5</v>
      </c>
      <c r="E3" s="530" t="s">
        <v>6</v>
      </c>
      <c r="F3" s="530" t="s">
        <v>7</v>
      </c>
    </row>
    <row r="4" spans="1:6" s="532" customFormat="1" x14ac:dyDescent="0.25">
      <c r="A4" s="531"/>
      <c r="B4" s="797"/>
    </row>
    <row r="5" spans="1:6" s="533" customFormat="1" x14ac:dyDescent="0.25">
      <c r="A5" s="536" t="s">
        <v>185</v>
      </c>
      <c r="B5" s="798"/>
    </row>
    <row r="6" spans="1:6" s="532" customFormat="1" x14ac:dyDescent="0.25">
      <c r="A6" s="535" t="str">
        <f>"02-B-001"</f>
        <v>02-B-001</v>
      </c>
      <c r="B6" s="799" t="str">
        <f t="shared" ref="B6:B45" ca="1" si="0">INDIRECT(CHAR(64+$C$2)&amp;ROW())</f>
        <v>Groep A</v>
      </c>
      <c r="C6" s="548" t="s">
        <v>186</v>
      </c>
      <c r="D6" s="548" t="s">
        <v>187</v>
      </c>
      <c r="E6" s="548" t="s">
        <v>188</v>
      </c>
      <c r="F6" s="548" t="s">
        <v>189</v>
      </c>
    </row>
    <row r="7" spans="1:6" s="546" customFormat="1" x14ac:dyDescent="0.25">
      <c r="A7" s="534" t="str">
        <f>LEFT(A6,5)&amp;RIGHT("000"&amp;RIGHT(A6,3)*1+1,3)</f>
        <v>02-B-002</v>
      </c>
      <c r="B7" s="800" t="str">
        <f t="shared" ca="1" si="0"/>
        <v>Duitsland</v>
      </c>
      <c r="C7" s="533" t="s">
        <v>10</v>
      </c>
      <c r="D7" s="533" t="s">
        <v>11</v>
      </c>
      <c r="E7" s="533" t="s">
        <v>12</v>
      </c>
      <c r="F7" s="533" t="s">
        <v>13</v>
      </c>
    </row>
    <row r="8" spans="1:6" s="532" customFormat="1" x14ac:dyDescent="0.25">
      <c r="A8" s="535" t="str">
        <f t="shared" ref="A8:A23" si="1">LEFT(A7,5)&amp;RIGHT("000"&amp;RIGHT(A7,3)*1+1,3)</f>
        <v>02-B-003</v>
      </c>
      <c r="B8" s="789" t="str">
        <f t="shared" ca="1" si="0"/>
        <v>Schotland</v>
      </c>
      <c r="C8" s="532" t="s">
        <v>190</v>
      </c>
      <c r="D8" s="532" t="s">
        <v>191</v>
      </c>
      <c r="E8" s="532" t="s">
        <v>190</v>
      </c>
      <c r="F8" s="532" t="s">
        <v>192</v>
      </c>
    </row>
    <row r="9" spans="1:6" s="533" customFormat="1" x14ac:dyDescent="0.25">
      <c r="A9" s="534" t="str">
        <f t="shared" si="1"/>
        <v>02-B-004</v>
      </c>
      <c r="B9" s="800" t="str">
        <f t="shared" ca="1" si="0"/>
        <v>Hongarije</v>
      </c>
      <c r="C9" s="533" t="s">
        <v>193</v>
      </c>
      <c r="D9" s="533" t="s">
        <v>194</v>
      </c>
      <c r="E9" s="533" t="s">
        <v>195</v>
      </c>
      <c r="F9" s="533" t="s">
        <v>196</v>
      </c>
    </row>
    <row r="10" spans="1:6" s="532" customFormat="1" x14ac:dyDescent="0.25">
      <c r="A10" s="535" t="str">
        <f t="shared" si="1"/>
        <v>02-B-005</v>
      </c>
      <c r="B10" s="789" t="str">
        <f t="shared" ca="1" si="0"/>
        <v>Zwitserland</v>
      </c>
      <c r="C10" s="532" t="s">
        <v>197</v>
      </c>
      <c r="D10" s="532" t="s">
        <v>198</v>
      </c>
      <c r="E10" s="532" t="s">
        <v>199</v>
      </c>
      <c r="F10" s="532" t="s">
        <v>199</v>
      </c>
    </row>
    <row r="11" spans="1:6" s="533" customFormat="1" x14ac:dyDescent="0.25">
      <c r="A11" s="534" t="str">
        <f t="shared" si="1"/>
        <v>02-B-006</v>
      </c>
      <c r="B11" s="786" t="str">
        <f t="shared" ca="1" si="0"/>
        <v>Groep B</v>
      </c>
      <c r="C11" s="546" t="s">
        <v>200</v>
      </c>
      <c r="D11" s="546" t="s">
        <v>201</v>
      </c>
      <c r="E11" s="546" t="s">
        <v>202</v>
      </c>
      <c r="F11" s="546" t="s">
        <v>203</v>
      </c>
    </row>
    <row r="12" spans="1:6" s="548" customFormat="1" x14ac:dyDescent="0.25">
      <c r="A12" s="547" t="str">
        <f t="shared" si="1"/>
        <v>02-B-007</v>
      </c>
      <c r="B12" s="789" t="str">
        <f t="shared" ca="1" si="0"/>
        <v>Spanje</v>
      </c>
      <c r="C12" s="532" t="s">
        <v>204</v>
      </c>
      <c r="D12" s="532" t="s">
        <v>205</v>
      </c>
      <c r="E12" s="532" t="s">
        <v>206</v>
      </c>
      <c r="F12" s="532" t="s">
        <v>206</v>
      </c>
    </row>
    <row r="13" spans="1:6" s="533" customFormat="1" x14ac:dyDescent="0.25">
      <c r="A13" s="534" t="str">
        <f t="shared" si="1"/>
        <v>02-B-008</v>
      </c>
      <c r="B13" s="800" t="str">
        <f t="shared" ca="1" si="0"/>
        <v>Kroatië</v>
      </c>
      <c r="C13" s="533" t="s">
        <v>207</v>
      </c>
      <c r="D13" s="533" t="s">
        <v>208</v>
      </c>
      <c r="E13" s="533" t="s">
        <v>209</v>
      </c>
      <c r="F13" s="533" t="s">
        <v>209</v>
      </c>
    </row>
    <row r="14" spans="1:6" s="532" customFormat="1" x14ac:dyDescent="0.25">
      <c r="A14" s="535" t="str">
        <f t="shared" si="1"/>
        <v>02-B-009</v>
      </c>
      <c r="B14" s="789" t="str">
        <f t="shared" ca="1" si="0"/>
        <v>Italië</v>
      </c>
      <c r="C14" s="532" t="s">
        <v>210</v>
      </c>
      <c r="D14" s="532" t="s">
        <v>211</v>
      </c>
      <c r="E14" s="532" t="s">
        <v>212</v>
      </c>
      <c r="F14" s="532" t="s">
        <v>212</v>
      </c>
    </row>
    <row r="15" spans="1:6" s="533" customFormat="1" x14ac:dyDescent="0.25">
      <c r="A15" s="534" t="str">
        <f t="shared" si="1"/>
        <v>02-B-010</v>
      </c>
      <c r="B15" s="800" t="str">
        <f t="shared" ca="1" si="0"/>
        <v>Albanië</v>
      </c>
      <c r="C15" s="538" t="s">
        <v>213</v>
      </c>
      <c r="D15" s="538" t="s">
        <v>214</v>
      </c>
      <c r="E15" s="538" t="s">
        <v>215</v>
      </c>
      <c r="F15" s="538" t="s">
        <v>215</v>
      </c>
    </row>
    <row r="16" spans="1:6" s="532" customFormat="1" x14ac:dyDescent="0.25">
      <c r="A16" s="535" t="str">
        <f t="shared" si="1"/>
        <v>02-B-011</v>
      </c>
      <c r="B16" s="799" t="str">
        <f t="shared" ca="1" si="0"/>
        <v>Groep C</v>
      </c>
      <c r="C16" s="548" t="s">
        <v>216</v>
      </c>
      <c r="D16" s="548" t="s">
        <v>217</v>
      </c>
      <c r="E16" s="548" t="s">
        <v>218</v>
      </c>
      <c r="F16" s="548" t="s">
        <v>219</v>
      </c>
    </row>
    <row r="17" spans="1:6" s="546" customFormat="1" x14ac:dyDescent="0.25">
      <c r="A17" s="545" t="str">
        <f t="shared" si="1"/>
        <v>02-B-012</v>
      </c>
      <c r="B17" s="800" t="str">
        <f t="shared" ca="1" si="0"/>
        <v>Slovenië</v>
      </c>
      <c r="C17" s="533" t="s">
        <v>220</v>
      </c>
      <c r="D17" s="533" t="s">
        <v>221</v>
      </c>
      <c r="E17" s="533" t="s">
        <v>222</v>
      </c>
      <c r="F17" s="533" t="s">
        <v>223</v>
      </c>
    </row>
    <row r="18" spans="1:6" s="532" customFormat="1" x14ac:dyDescent="0.25">
      <c r="A18" s="535" t="str">
        <f t="shared" si="1"/>
        <v>02-B-013</v>
      </c>
      <c r="B18" s="789" t="str">
        <f t="shared" ca="1" si="0"/>
        <v>Denemarken</v>
      </c>
      <c r="C18" s="532" t="s">
        <v>224</v>
      </c>
      <c r="D18" s="532" t="s">
        <v>225</v>
      </c>
      <c r="E18" s="532" t="s">
        <v>226</v>
      </c>
      <c r="F18" s="532" t="s">
        <v>227</v>
      </c>
    </row>
    <row r="19" spans="1:6" s="533" customFormat="1" x14ac:dyDescent="0.25">
      <c r="A19" s="534" t="str">
        <f t="shared" si="1"/>
        <v>02-B-014</v>
      </c>
      <c r="B19" s="800" t="str">
        <f t="shared" ca="1" si="0"/>
        <v>Servië</v>
      </c>
      <c r="C19" s="533" t="s">
        <v>228</v>
      </c>
      <c r="D19" s="533" t="s">
        <v>229</v>
      </c>
      <c r="E19" s="533" t="s">
        <v>230</v>
      </c>
      <c r="F19" s="533" t="s">
        <v>230</v>
      </c>
    </row>
    <row r="20" spans="1:6" s="532" customFormat="1" x14ac:dyDescent="0.25">
      <c r="A20" s="535" t="str">
        <f t="shared" si="1"/>
        <v>02-B-015</v>
      </c>
      <c r="B20" s="789" t="str">
        <f t="shared" ca="1" si="0"/>
        <v>Engeland</v>
      </c>
      <c r="C20" s="532" t="s">
        <v>231</v>
      </c>
      <c r="D20" s="532" t="s">
        <v>232</v>
      </c>
      <c r="E20" s="532" t="s">
        <v>232</v>
      </c>
      <c r="F20" s="532" t="s">
        <v>232</v>
      </c>
    </row>
    <row r="21" spans="1:6" s="533" customFormat="1" x14ac:dyDescent="0.25">
      <c r="A21" s="534" t="str">
        <f t="shared" si="1"/>
        <v>02-B-016</v>
      </c>
      <c r="B21" s="786" t="str">
        <f t="shared" ca="1" si="0"/>
        <v>Groep D</v>
      </c>
      <c r="C21" s="546" t="s">
        <v>233</v>
      </c>
      <c r="D21" s="546" t="s">
        <v>234</v>
      </c>
      <c r="E21" s="546" t="s">
        <v>235</v>
      </c>
      <c r="F21" s="546" t="s">
        <v>236</v>
      </c>
    </row>
    <row r="22" spans="1:6" s="548" customFormat="1" x14ac:dyDescent="0.25">
      <c r="A22" s="547" t="str">
        <f t="shared" si="1"/>
        <v>02-B-017</v>
      </c>
      <c r="B22" s="789" t="str">
        <f t="shared" ca="1" si="0"/>
        <v>Polen</v>
      </c>
      <c r="C22" s="532" t="s">
        <v>237</v>
      </c>
      <c r="D22" s="532" t="s">
        <v>238</v>
      </c>
      <c r="E22" s="532" t="s">
        <v>237</v>
      </c>
      <c r="F22" s="532" t="s">
        <v>237</v>
      </c>
    </row>
    <row r="23" spans="1:6" s="533" customFormat="1" x14ac:dyDescent="0.25">
      <c r="A23" s="534" t="str">
        <f t="shared" si="1"/>
        <v>02-B-018</v>
      </c>
      <c r="B23" s="800" t="str">
        <f t="shared" ca="1" si="0"/>
        <v>Nederland</v>
      </c>
      <c r="C23" s="533" t="s">
        <v>239</v>
      </c>
      <c r="D23" s="533" t="s">
        <v>240</v>
      </c>
      <c r="E23" s="533" t="s">
        <v>241</v>
      </c>
      <c r="F23" s="533" t="s">
        <v>242</v>
      </c>
    </row>
    <row r="24" spans="1:6" s="532" customFormat="1" x14ac:dyDescent="0.25">
      <c r="A24" s="535" t="str">
        <f>LEFT(A23,5)&amp;RIGHT("000"&amp;RIGHT(A23,3)*1+1,3)</f>
        <v>02-B-019</v>
      </c>
      <c r="B24" s="789" t="str">
        <f t="shared" ca="1" si="0"/>
        <v>Oostenrijk</v>
      </c>
      <c r="C24" s="532" t="s">
        <v>243</v>
      </c>
      <c r="D24" s="532" t="s">
        <v>244</v>
      </c>
      <c r="E24" s="532" t="s">
        <v>245</v>
      </c>
      <c r="F24" s="532" t="s">
        <v>246</v>
      </c>
    </row>
    <row r="25" spans="1:6" s="533" customFormat="1" x14ac:dyDescent="0.25">
      <c r="A25" s="534" t="str">
        <f t="shared" ref="A25:A41" si="2">LEFT(A24,5)&amp;RIGHT("000"&amp;RIGHT(A24,3)*1+1,3)</f>
        <v>02-B-020</v>
      </c>
      <c r="B25" s="800" t="str">
        <f t="shared" ca="1" si="0"/>
        <v>Frankrijk</v>
      </c>
      <c r="C25" s="533" t="s">
        <v>247</v>
      </c>
      <c r="D25" s="533" t="s">
        <v>248</v>
      </c>
      <c r="E25" s="533" t="s">
        <v>249</v>
      </c>
      <c r="F25" s="533" t="s">
        <v>250</v>
      </c>
    </row>
    <row r="26" spans="1:6" s="532" customFormat="1" x14ac:dyDescent="0.25">
      <c r="A26" s="535" t="str">
        <f t="shared" si="2"/>
        <v>02-B-021</v>
      </c>
      <c r="B26" s="799" t="str">
        <f t="shared" ca="1" si="0"/>
        <v>Groep E</v>
      </c>
      <c r="C26" s="548" t="s">
        <v>251</v>
      </c>
      <c r="D26" s="548" t="s">
        <v>252</v>
      </c>
      <c r="E26" s="548" t="s">
        <v>253</v>
      </c>
      <c r="F26" s="548" t="s">
        <v>254</v>
      </c>
    </row>
    <row r="27" spans="1:6" s="546" customFormat="1" x14ac:dyDescent="0.25">
      <c r="A27" s="545" t="str">
        <f t="shared" si="2"/>
        <v>02-B-022</v>
      </c>
      <c r="B27" s="800" t="str">
        <f t="shared" ca="1" si="0"/>
        <v>België</v>
      </c>
      <c r="C27" s="533" t="s">
        <v>255</v>
      </c>
      <c r="D27" s="533" t="s">
        <v>256</v>
      </c>
      <c r="E27" s="533" t="s">
        <v>257</v>
      </c>
      <c r="F27" s="533" t="s">
        <v>257</v>
      </c>
    </row>
    <row r="28" spans="1:6" s="532" customFormat="1" x14ac:dyDescent="0.25">
      <c r="A28" s="535" t="str">
        <f t="shared" si="2"/>
        <v>02-B-023</v>
      </c>
      <c r="B28" s="789" t="str">
        <f t="shared" ca="1" si="0"/>
        <v>Slowakije</v>
      </c>
      <c r="C28" s="537" t="s">
        <v>258</v>
      </c>
      <c r="D28" s="537" t="s">
        <v>259</v>
      </c>
      <c r="E28" s="537" t="s">
        <v>260</v>
      </c>
      <c r="F28" s="537" t="s">
        <v>261</v>
      </c>
    </row>
    <row r="29" spans="1:6" s="533" customFormat="1" x14ac:dyDescent="0.25">
      <c r="A29" s="534" t="str">
        <f t="shared" si="2"/>
        <v>02-B-024</v>
      </c>
      <c r="B29" s="800" t="str">
        <f t="shared" ca="1" si="0"/>
        <v>Roemenië</v>
      </c>
      <c r="C29" s="533" t="s">
        <v>262</v>
      </c>
      <c r="D29" s="533" t="s">
        <v>263</v>
      </c>
      <c r="E29" s="533" t="s">
        <v>264</v>
      </c>
      <c r="F29" s="533" t="s">
        <v>264</v>
      </c>
    </row>
    <row r="30" spans="1:6" s="532" customFormat="1" x14ac:dyDescent="0.25">
      <c r="A30" s="535" t="str">
        <f t="shared" si="2"/>
        <v>02-B-025</v>
      </c>
      <c r="B30" s="789" t="str">
        <f t="shared" ca="1" si="0"/>
        <v>Oekraïne</v>
      </c>
      <c r="C30" s="532" t="s">
        <v>265</v>
      </c>
      <c r="D30" s="532" t="s">
        <v>266</v>
      </c>
      <c r="E30" s="532" t="s">
        <v>266</v>
      </c>
      <c r="F30" s="532" t="s">
        <v>267</v>
      </c>
    </row>
    <row r="31" spans="1:6" s="533" customFormat="1" x14ac:dyDescent="0.25">
      <c r="A31" s="534" t="str">
        <f t="shared" si="2"/>
        <v>02-B-026</v>
      </c>
      <c r="B31" s="786" t="str">
        <f t="shared" ca="1" si="0"/>
        <v>Groep F</v>
      </c>
      <c r="C31" s="546" t="s">
        <v>268</v>
      </c>
      <c r="D31" s="546" t="s">
        <v>269</v>
      </c>
      <c r="E31" s="546" t="s">
        <v>270</v>
      </c>
      <c r="F31" s="546" t="s">
        <v>271</v>
      </c>
    </row>
    <row r="32" spans="1:6" s="548" customFormat="1" x14ac:dyDescent="0.25">
      <c r="A32" s="547" t="str">
        <f t="shared" si="2"/>
        <v>02-B-027</v>
      </c>
      <c r="B32" s="789" t="str">
        <f t="shared" ca="1" si="0"/>
        <v>Turkije</v>
      </c>
      <c r="C32" s="532" t="s">
        <v>272</v>
      </c>
      <c r="D32" s="532" t="s">
        <v>273</v>
      </c>
      <c r="E32" s="532" t="s">
        <v>274</v>
      </c>
      <c r="F32" s="532" t="s">
        <v>275</v>
      </c>
    </row>
    <row r="33" spans="1:6" s="533" customFormat="1" x14ac:dyDescent="0.25">
      <c r="A33" s="534" t="str">
        <f t="shared" si="2"/>
        <v>02-B-028</v>
      </c>
      <c r="B33" s="800" t="str">
        <f t="shared" ca="1" si="0"/>
        <v>Georgië</v>
      </c>
      <c r="C33" s="533" t="s">
        <v>276</v>
      </c>
      <c r="D33" s="533" t="s">
        <v>277</v>
      </c>
      <c r="E33" s="533" t="s">
        <v>278</v>
      </c>
      <c r="F33" s="533" t="s">
        <v>278</v>
      </c>
    </row>
    <row r="34" spans="1:6" s="532" customFormat="1" x14ac:dyDescent="0.25">
      <c r="A34" s="535" t="str">
        <f t="shared" si="2"/>
        <v>02-B-029</v>
      </c>
      <c r="B34" s="789" t="str">
        <f t="shared" ca="1" si="0"/>
        <v>Portugal</v>
      </c>
      <c r="C34" s="532" t="s">
        <v>279</v>
      </c>
      <c r="D34" s="532" t="s">
        <v>279</v>
      </c>
      <c r="E34" s="532" t="s">
        <v>279</v>
      </c>
      <c r="F34" s="532" t="s">
        <v>279</v>
      </c>
    </row>
    <row r="35" spans="1:6" s="533" customFormat="1" x14ac:dyDescent="0.25">
      <c r="A35" s="534" t="str">
        <f t="shared" si="2"/>
        <v>02-B-030</v>
      </c>
      <c r="B35" s="800" t="str">
        <f t="shared" ca="1" si="0"/>
        <v>Tsjechië</v>
      </c>
      <c r="C35" s="533" t="s">
        <v>280</v>
      </c>
      <c r="D35" s="533" t="s">
        <v>281</v>
      </c>
      <c r="E35" s="533" t="s">
        <v>282</v>
      </c>
      <c r="F35" s="533" t="s">
        <v>283</v>
      </c>
    </row>
    <row r="36" spans="1:6" s="532" customFormat="1" x14ac:dyDescent="0.25">
      <c r="A36" s="535" t="str">
        <f t="shared" si="2"/>
        <v>02-B-031</v>
      </c>
      <c r="B36" s="799" t="str">
        <f t="shared" ca="1" si="0"/>
        <v>Groep G</v>
      </c>
      <c r="C36" s="548" t="s">
        <v>284</v>
      </c>
      <c r="D36" s="548" t="s">
        <v>285</v>
      </c>
      <c r="E36" s="548" t="s">
        <v>286</v>
      </c>
      <c r="F36" s="548" t="s">
        <v>287</v>
      </c>
    </row>
    <row r="37" spans="1:6" s="546" customFormat="1" x14ac:dyDescent="0.25">
      <c r="A37" s="545" t="str">
        <f t="shared" si="2"/>
        <v>02-B-032</v>
      </c>
      <c r="B37" s="800" t="str">
        <f t="shared" ca="1" si="0"/>
        <v>ZZZ_land_G1</v>
      </c>
      <c r="C37" s="533" t="s">
        <v>288</v>
      </c>
      <c r="D37" s="533" t="s">
        <v>288</v>
      </c>
      <c r="E37" s="533" t="s">
        <v>288</v>
      </c>
      <c r="F37" s="533" t="s">
        <v>288</v>
      </c>
    </row>
    <row r="38" spans="1:6" s="532" customFormat="1" x14ac:dyDescent="0.25">
      <c r="A38" s="535" t="str">
        <f t="shared" si="2"/>
        <v>02-B-033</v>
      </c>
      <c r="B38" s="789" t="str">
        <f t="shared" ca="1" si="0"/>
        <v>ZZZ_land_G2</v>
      </c>
      <c r="C38" s="532" t="s">
        <v>289</v>
      </c>
      <c r="D38" s="532" t="s">
        <v>289</v>
      </c>
      <c r="E38" s="532" t="s">
        <v>289</v>
      </c>
      <c r="F38" s="532" t="s">
        <v>289</v>
      </c>
    </row>
    <row r="39" spans="1:6" s="533" customFormat="1" x14ac:dyDescent="0.25">
      <c r="A39" s="534" t="str">
        <f t="shared" si="2"/>
        <v>02-B-034</v>
      </c>
      <c r="B39" s="800" t="str">
        <f t="shared" ca="1" si="0"/>
        <v>ZZZ_land_G3</v>
      </c>
      <c r="C39" s="533" t="s">
        <v>290</v>
      </c>
      <c r="D39" s="533" t="s">
        <v>290</v>
      </c>
      <c r="E39" s="533" t="s">
        <v>290</v>
      </c>
      <c r="F39" s="533" t="s">
        <v>290</v>
      </c>
    </row>
    <row r="40" spans="1:6" s="532" customFormat="1" x14ac:dyDescent="0.25">
      <c r="A40" s="535" t="str">
        <f t="shared" si="2"/>
        <v>02-B-035</v>
      </c>
      <c r="B40" s="789" t="str">
        <f t="shared" ca="1" si="0"/>
        <v>ZZZ_land_G4</v>
      </c>
      <c r="C40" s="532" t="s">
        <v>291</v>
      </c>
      <c r="D40" s="532" t="s">
        <v>291</v>
      </c>
      <c r="E40" s="532" t="s">
        <v>291</v>
      </c>
      <c r="F40" s="532" t="s">
        <v>291</v>
      </c>
    </row>
    <row r="41" spans="1:6" s="533" customFormat="1" x14ac:dyDescent="0.25">
      <c r="A41" s="534" t="str">
        <f t="shared" si="2"/>
        <v>02-B-036</v>
      </c>
      <c r="B41" s="786" t="str">
        <f t="shared" ca="1" si="0"/>
        <v>Groep H</v>
      </c>
      <c r="C41" s="546" t="s">
        <v>292</v>
      </c>
      <c r="D41" s="546" t="s">
        <v>293</v>
      </c>
      <c r="E41" s="546" t="s">
        <v>294</v>
      </c>
      <c r="F41" s="546" t="s">
        <v>292</v>
      </c>
    </row>
    <row r="42" spans="1:6" s="532" customFormat="1" x14ac:dyDescent="0.25">
      <c r="A42" s="535" t="str">
        <f>LEFT(A41,5)&amp;RIGHT("000"&amp;RIGHT(A41,3)*1+1,3)</f>
        <v>02-B-037</v>
      </c>
      <c r="B42" s="789" t="str">
        <f t="shared" ca="1" si="0"/>
        <v>ZZZ_land_H1</v>
      </c>
      <c r="C42" s="532" t="s">
        <v>295</v>
      </c>
      <c r="D42" s="532" t="s">
        <v>295</v>
      </c>
      <c r="E42" s="532" t="s">
        <v>295</v>
      </c>
      <c r="F42" s="532" t="s">
        <v>295</v>
      </c>
    </row>
    <row r="43" spans="1:6" s="533" customFormat="1" x14ac:dyDescent="0.25">
      <c r="A43" s="534" t="str">
        <f t="shared" ref="A43:A89" si="3">LEFT(A42,5)&amp;RIGHT("000"&amp;RIGHT(A42,3)*1+1,3)</f>
        <v>02-B-038</v>
      </c>
      <c r="B43" s="800" t="str">
        <f t="shared" ca="1" si="0"/>
        <v>ZZZ_land_H2</v>
      </c>
      <c r="C43" s="533" t="s">
        <v>296</v>
      </c>
      <c r="D43" s="533" t="s">
        <v>296</v>
      </c>
      <c r="E43" s="533" t="s">
        <v>296</v>
      </c>
      <c r="F43" s="533" t="s">
        <v>296</v>
      </c>
    </row>
    <row r="44" spans="1:6" s="532" customFormat="1" x14ac:dyDescent="0.25">
      <c r="A44" s="535" t="str">
        <f t="shared" si="3"/>
        <v>02-B-039</v>
      </c>
      <c r="B44" s="789" t="str">
        <f t="shared" ca="1" si="0"/>
        <v>ZZZ_land_H3</v>
      </c>
      <c r="C44" s="532" t="s">
        <v>297</v>
      </c>
      <c r="D44" s="532" t="s">
        <v>297</v>
      </c>
      <c r="E44" s="532" t="s">
        <v>297</v>
      </c>
      <c r="F44" s="532" t="s">
        <v>297</v>
      </c>
    </row>
    <row r="45" spans="1:6" s="538" customFormat="1" x14ac:dyDescent="0.25">
      <c r="A45" s="549" t="str">
        <f t="shared" si="3"/>
        <v>02-B-040</v>
      </c>
      <c r="B45" s="788" t="str">
        <f t="shared" ca="1" si="0"/>
        <v>ZZZ_land_H4</v>
      </c>
      <c r="C45" s="533" t="s">
        <v>298</v>
      </c>
      <c r="D45" s="533" t="s">
        <v>298</v>
      </c>
      <c r="E45" s="533" t="s">
        <v>298</v>
      </c>
      <c r="F45" s="533" t="s">
        <v>298</v>
      </c>
    </row>
    <row r="46" spans="1:6" s="544" customFormat="1" x14ac:dyDescent="0.25">
      <c r="A46" s="542" t="str">
        <f t="shared" si="3"/>
        <v>02-B-041</v>
      </c>
      <c r="B46" s="801"/>
    </row>
    <row r="47" spans="1:6" s="541" customFormat="1" x14ac:dyDescent="0.25">
      <c r="A47" s="539" t="str">
        <f t="shared" si="3"/>
        <v>02-B-042</v>
      </c>
      <c r="B47" s="791"/>
      <c r="C47" s="541" t="s">
        <v>299</v>
      </c>
    </row>
    <row r="48" spans="1:6" s="537" customFormat="1" x14ac:dyDescent="0.25">
      <c r="A48" s="550" t="str">
        <f t="shared" si="3"/>
        <v>02-B-043</v>
      </c>
      <c r="B48" s="787" t="str">
        <f ca="1">INDIRECT(CHAR(64+$C$2)&amp;ROW())</f>
        <v>B4E1C2A1C4D4F2A3B3B2D2E4D3D1F3E3A2C3C1E2B1F4F1A4G1G2G3G4H1H2H3H4</v>
      </c>
      <c r="C48" s="537" t="s">
        <v>300</v>
      </c>
      <c r="D48" s="537" t="s">
        <v>301</v>
      </c>
      <c r="E48" s="537" t="s">
        <v>302</v>
      </c>
      <c r="F48" s="537" t="s">
        <v>303</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304</v>
      </c>
      <c r="D51" s="538" t="s">
        <v>305</v>
      </c>
      <c r="E51" s="538" t="s">
        <v>306</v>
      </c>
      <c r="F51" s="538" t="s">
        <v>307</v>
      </c>
    </row>
    <row r="52" spans="1:6" s="537" customFormat="1" x14ac:dyDescent="0.25">
      <c r="A52" s="550" t="str">
        <f t="shared" si="3"/>
        <v>02-B-047</v>
      </c>
      <c r="B52" s="789" t="str">
        <f t="shared" ca="1" si="4"/>
        <v>Belgisch voetbalelftal</v>
      </c>
      <c r="C52" s="537" t="s">
        <v>308</v>
      </c>
      <c r="D52" s="537" t="s">
        <v>309</v>
      </c>
      <c r="E52" s="537" t="s">
        <v>310</v>
      </c>
      <c r="F52" s="537" t="s">
        <v>311</v>
      </c>
    </row>
    <row r="53" spans="1:6" s="538" customFormat="1" x14ac:dyDescent="0.25">
      <c r="A53" s="549" t="str">
        <f t="shared" si="3"/>
        <v>02-B-048</v>
      </c>
      <c r="B53" s="800" t="str">
        <f t="shared" ca="1" si="4"/>
        <v>Deense voetbalelftal</v>
      </c>
      <c r="C53" s="538" t="s">
        <v>312</v>
      </c>
      <c r="D53" s="538" t="s">
        <v>313</v>
      </c>
      <c r="E53" s="538" t="s">
        <v>314</v>
      </c>
      <c r="F53" s="538" t="s">
        <v>315</v>
      </c>
    </row>
    <row r="54" spans="1:6" s="537" customFormat="1" x14ac:dyDescent="0.25">
      <c r="A54" s="550" t="str">
        <f t="shared" si="3"/>
        <v>02-B-049</v>
      </c>
      <c r="B54" s="789" t="str">
        <f t="shared" ca="1" si="4"/>
        <v>Duits voetbalelftal</v>
      </c>
      <c r="C54" s="537" t="s">
        <v>316</v>
      </c>
      <c r="D54" s="537" t="s">
        <v>317</v>
      </c>
      <c r="E54" s="537" t="s">
        <v>318</v>
      </c>
      <c r="F54" s="537" t="s">
        <v>319</v>
      </c>
    </row>
    <row r="55" spans="1:6" s="538" customFormat="1" x14ac:dyDescent="0.25">
      <c r="A55" s="549" t="str">
        <f t="shared" si="3"/>
        <v>02-B-050</v>
      </c>
      <c r="B55" s="800" t="str">
        <f t="shared" ca="1" si="4"/>
        <v>Engels voetbalelftal</v>
      </c>
      <c r="C55" s="538" t="s">
        <v>320</v>
      </c>
      <c r="D55" s="538" t="s">
        <v>321</v>
      </c>
      <c r="E55" s="538" t="s">
        <v>322</v>
      </c>
      <c r="F55" s="538" t="s">
        <v>323</v>
      </c>
    </row>
    <row r="56" spans="1:6" s="537" customFormat="1" x14ac:dyDescent="0.25">
      <c r="A56" s="550" t="str">
        <f t="shared" si="3"/>
        <v>02-B-051</v>
      </c>
      <c r="B56" s="789" t="str">
        <f t="shared" ca="1" si="4"/>
        <v>Frans voetbalelftal</v>
      </c>
      <c r="C56" s="537" t="s">
        <v>324</v>
      </c>
      <c r="D56" s="537" t="s">
        <v>325</v>
      </c>
      <c r="E56" s="537" t="s">
        <v>326</v>
      </c>
      <c r="F56" s="537" t="s">
        <v>327</v>
      </c>
    </row>
    <row r="57" spans="1:6" s="538" customFormat="1" x14ac:dyDescent="0.25">
      <c r="A57" s="549" t="str">
        <f t="shared" si="3"/>
        <v>02-B-052</v>
      </c>
      <c r="B57" s="800" t="str">
        <f t="shared" ca="1" si="4"/>
        <v>Georgisch voetbalelftal</v>
      </c>
      <c r="C57" s="538" t="s">
        <v>328</v>
      </c>
      <c r="D57" s="538" t="s">
        <v>329</v>
      </c>
      <c r="E57" s="538" t="s">
        <v>330</v>
      </c>
      <c r="F57" s="538" t="s">
        <v>331</v>
      </c>
    </row>
    <row r="58" spans="1:6" s="537" customFormat="1" x14ac:dyDescent="0.25">
      <c r="A58" s="550" t="str">
        <f t="shared" si="3"/>
        <v>02-B-053</v>
      </c>
      <c r="B58" s="789" t="str">
        <f t="shared" ca="1" si="4"/>
        <v>Hongaars voetbalelftal</v>
      </c>
      <c r="C58" s="537" t="s">
        <v>332</v>
      </c>
      <c r="D58" s="537" t="s">
        <v>333</v>
      </c>
      <c r="E58" s="537" t="s">
        <v>334</v>
      </c>
      <c r="F58" s="537" t="s">
        <v>335</v>
      </c>
    </row>
    <row r="59" spans="1:6" s="538" customFormat="1" x14ac:dyDescent="0.25">
      <c r="A59" s="549" t="str">
        <f t="shared" si="3"/>
        <v>02-B-054</v>
      </c>
      <c r="B59" s="800" t="str">
        <f t="shared" ca="1" si="4"/>
        <v>Italiaans voetbalelftal</v>
      </c>
      <c r="C59" s="538" t="s">
        <v>336</v>
      </c>
      <c r="D59" s="538" t="s">
        <v>337</v>
      </c>
      <c r="E59" s="538" t="s">
        <v>338</v>
      </c>
      <c r="F59" s="538" t="s">
        <v>339</v>
      </c>
    </row>
    <row r="60" spans="1:6" s="537" customFormat="1" x14ac:dyDescent="0.25">
      <c r="A60" s="550" t="str">
        <f t="shared" si="3"/>
        <v>02-B-055</v>
      </c>
      <c r="B60" s="789" t="str">
        <f t="shared" ca="1" si="4"/>
        <v>Kroatisch voetbalelftal</v>
      </c>
      <c r="C60" s="537" t="s">
        <v>340</v>
      </c>
      <c r="D60" s="537" t="s">
        <v>341</v>
      </c>
      <c r="E60" s="537" t="s">
        <v>342</v>
      </c>
      <c r="F60" s="537" t="s">
        <v>343</v>
      </c>
    </row>
    <row r="61" spans="1:6" s="538" customFormat="1" x14ac:dyDescent="0.25">
      <c r="A61" s="549" t="str">
        <f t="shared" si="3"/>
        <v>02-B-056</v>
      </c>
      <c r="B61" s="800" t="str">
        <f t="shared" ca="1" si="4"/>
        <v>Nederlands voetbalelftal</v>
      </c>
      <c r="C61" s="538" t="s">
        <v>344</v>
      </c>
      <c r="D61" s="538" t="s">
        <v>345</v>
      </c>
      <c r="E61" s="538" t="s">
        <v>346</v>
      </c>
      <c r="F61" s="538" t="s">
        <v>347</v>
      </c>
    </row>
    <row r="62" spans="1:6" s="537" customFormat="1" x14ac:dyDescent="0.25">
      <c r="A62" s="550" t="str">
        <f t="shared" si="3"/>
        <v>02-B-057</v>
      </c>
      <c r="B62" s="789" t="str">
        <f t="shared" ca="1" si="4"/>
        <v>Oekraïens voetbalelftal</v>
      </c>
      <c r="C62" s="537" t="s">
        <v>348</v>
      </c>
      <c r="D62" s="537" t="s">
        <v>349</v>
      </c>
      <c r="E62" s="537" t="s">
        <v>350</v>
      </c>
      <c r="F62" s="537" t="s">
        <v>351</v>
      </c>
    </row>
    <row r="63" spans="1:6" s="538" customFormat="1" x14ac:dyDescent="0.25">
      <c r="A63" s="549" t="str">
        <f t="shared" si="3"/>
        <v>02-B-058</v>
      </c>
      <c r="B63" s="800" t="str">
        <f t="shared" ca="1" si="4"/>
        <v>Oostenrijks voetbalelftal</v>
      </c>
      <c r="C63" s="538" t="s">
        <v>352</v>
      </c>
      <c r="D63" s="538" t="s">
        <v>353</v>
      </c>
      <c r="E63" s="538" t="s">
        <v>354</v>
      </c>
      <c r="F63" s="538" t="s">
        <v>355</v>
      </c>
    </row>
    <row r="64" spans="1:6" s="537" customFormat="1" x14ac:dyDescent="0.25">
      <c r="A64" s="550" t="str">
        <f t="shared" si="3"/>
        <v>02-B-059</v>
      </c>
      <c r="B64" s="789" t="str">
        <f t="shared" ca="1" si="4"/>
        <v>Pools voetbalelftal</v>
      </c>
      <c r="C64" s="537" t="s">
        <v>356</v>
      </c>
      <c r="D64" s="537" t="s">
        <v>357</v>
      </c>
      <c r="E64" s="537" t="s">
        <v>358</v>
      </c>
      <c r="F64" s="537" t="s">
        <v>359</v>
      </c>
    </row>
    <row r="65" spans="1:6" s="538" customFormat="1" x14ac:dyDescent="0.25">
      <c r="A65" s="549" t="str">
        <f t="shared" si="3"/>
        <v>02-B-060</v>
      </c>
      <c r="B65" s="800" t="str">
        <f t="shared" ca="1" si="4"/>
        <v>Portugees voetbalelftal</v>
      </c>
      <c r="C65" s="538" t="s">
        <v>360</v>
      </c>
      <c r="D65" s="538" t="s">
        <v>361</v>
      </c>
      <c r="E65" s="538" t="s">
        <v>362</v>
      </c>
      <c r="F65" s="538" t="s">
        <v>363</v>
      </c>
    </row>
    <row r="66" spans="1:6" s="537" customFormat="1" x14ac:dyDescent="0.25">
      <c r="A66" s="550" t="str">
        <f t="shared" si="3"/>
        <v>02-B-061</v>
      </c>
      <c r="B66" s="789" t="str">
        <f t="shared" ca="1" si="4"/>
        <v>Roemeens voetbalelftal</v>
      </c>
      <c r="C66" s="537" t="s">
        <v>364</v>
      </c>
      <c r="D66" s="537" t="s">
        <v>365</v>
      </c>
      <c r="E66" s="537" t="s">
        <v>366</v>
      </c>
      <c r="F66" s="537" t="s">
        <v>367</v>
      </c>
    </row>
    <row r="67" spans="1:6" s="538" customFormat="1" x14ac:dyDescent="0.25">
      <c r="A67" s="549" t="str">
        <f t="shared" si="3"/>
        <v>02-B-062</v>
      </c>
      <c r="B67" s="800" t="str">
        <f t="shared" ca="1" si="4"/>
        <v>Schots voetbalelftal</v>
      </c>
      <c r="C67" s="538" t="s">
        <v>368</v>
      </c>
      <c r="D67" s="538" t="s">
        <v>369</v>
      </c>
      <c r="E67" s="538" t="s">
        <v>370</v>
      </c>
      <c r="F67" s="538" t="s">
        <v>371</v>
      </c>
    </row>
    <row r="68" spans="1:6" s="537" customFormat="1" x14ac:dyDescent="0.25">
      <c r="A68" s="550" t="str">
        <f t="shared" si="3"/>
        <v>02-B-063</v>
      </c>
      <c r="B68" s="789" t="str">
        <f t="shared" ca="1" si="4"/>
        <v>Servisch voetbalelftal</v>
      </c>
      <c r="C68" s="537" t="s">
        <v>372</v>
      </c>
      <c r="D68" s="537" t="s">
        <v>373</v>
      </c>
      <c r="E68" s="537" t="s">
        <v>374</v>
      </c>
      <c r="F68" s="537" t="s">
        <v>375</v>
      </c>
    </row>
    <row r="69" spans="1:6" s="538" customFormat="1" x14ac:dyDescent="0.25">
      <c r="A69" s="549" t="str">
        <f t="shared" si="3"/>
        <v>02-B-064</v>
      </c>
      <c r="B69" s="800" t="str">
        <f t="shared" ca="1" si="4"/>
        <v>Sloveens voetbalelftal</v>
      </c>
      <c r="C69" s="538" t="s">
        <v>376</v>
      </c>
      <c r="D69" s="538" t="s">
        <v>377</v>
      </c>
      <c r="E69" s="538" t="s">
        <v>378</v>
      </c>
      <c r="F69" s="538" t="s">
        <v>379</v>
      </c>
    </row>
    <row r="70" spans="1:6" s="537" customFormat="1" x14ac:dyDescent="0.25">
      <c r="A70" s="550" t="str">
        <f t="shared" si="3"/>
        <v>02-B-065</v>
      </c>
      <c r="B70" s="789" t="str">
        <f t="shared" ca="1" si="4"/>
        <v>Slowaaks voetbalelftal</v>
      </c>
      <c r="C70" s="537" t="s">
        <v>380</v>
      </c>
      <c r="D70" s="537" t="s">
        <v>381</v>
      </c>
      <c r="E70" s="537" t="s">
        <v>382</v>
      </c>
      <c r="F70" s="537" t="s">
        <v>383</v>
      </c>
    </row>
    <row r="71" spans="1:6" s="538" customFormat="1" x14ac:dyDescent="0.25">
      <c r="A71" s="549" t="str">
        <f t="shared" si="3"/>
        <v>02-B-066</v>
      </c>
      <c r="B71" s="800" t="str">
        <f t="shared" ca="1" si="4"/>
        <v>Spaans voetbalelftal</v>
      </c>
      <c r="C71" s="538" t="s">
        <v>384</v>
      </c>
      <c r="D71" s="538" t="s">
        <v>385</v>
      </c>
      <c r="E71" s="538" t="s">
        <v>386</v>
      </c>
      <c r="F71" s="538" t="s">
        <v>387</v>
      </c>
    </row>
    <row r="72" spans="1:6" s="537" customFormat="1" x14ac:dyDescent="0.25">
      <c r="A72" s="550" t="str">
        <f t="shared" si="3"/>
        <v>02-B-067</v>
      </c>
      <c r="B72" s="789" t="str">
        <f t="shared" ca="1" si="4"/>
        <v>Tsjechisch voetbalelftal</v>
      </c>
      <c r="C72" s="537" t="s">
        <v>388</v>
      </c>
      <c r="D72" s="537" t="s">
        <v>389</v>
      </c>
      <c r="E72" s="537" t="s">
        <v>390</v>
      </c>
      <c r="F72" s="537" t="s">
        <v>391</v>
      </c>
    </row>
    <row r="73" spans="1:6" s="538" customFormat="1" x14ac:dyDescent="0.25">
      <c r="A73" s="549" t="str">
        <f t="shared" si="3"/>
        <v>02-B-068</v>
      </c>
      <c r="B73" s="800" t="str">
        <f t="shared" ca="1" si="4"/>
        <v>Turks voetbalelftal</v>
      </c>
      <c r="C73" s="538" t="s">
        <v>392</v>
      </c>
      <c r="D73" s="538" t="s">
        <v>393</v>
      </c>
      <c r="E73" s="538" t="s">
        <v>394</v>
      </c>
      <c r="F73" s="538" t="s">
        <v>395</v>
      </c>
    </row>
    <row r="74" spans="1:6" s="537" customFormat="1" x14ac:dyDescent="0.25">
      <c r="A74" s="550" t="str">
        <f t="shared" si="3"/>
        <v>02-B-069</v>
      </c>
      <c r="B74" s="789" t="str">
        <f t="shared" ca="1" si="4"/>
        <v>Zwisters voetbalelftal</v>
      </c>
      <c r="C74" s="537" t="s">
        <v>396</v>
      </c>
      <c r="D74" s="537" t="s">
        <v>397</v>
      </c>
      <c r="E74" s="537" t="s">
        <v>398</v>
      </c>
      <c r="F74" s="537" t="s">
        <v>399</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400</v>
      </c>
      <c r="K89" s="973" t="s">
        <v>401</v>
      </c>
      <c r="S89" s="973" t="s">
        <v>402</v>
      </c>
    </row>
    <row r="90" spans="1:19" s="651" customFormat="1" ht="15" customHeight="1" x14ac:dyDescent="0.25">
      <c r="A90" s="1014" t="s">
        <v>403</v>
      </c>
      <c r="B90" s="1015"/>
      <c r="C90" s="1015"/>
      <c r="D90" s="1016"/>
      <c r="E90" s="1027" t="s">
        <v>404</v>
      </c>
      <c r="F90" s="1028"/>
      <c r="G90" s="1007" t="s">
        <v>405</v>
      </c>
      <c r="H90" s="1012" t="s">
        <v>406</v>
      </c>
      <c r="I90" s="1007" t="s">
        <v>407</v>
      </c>
      <c r="J90" s="1012" t="s">
        <v>408</v>
      </c>
      <c r="K90" s="1007" t="s">
        <v>409</v>
      </c>
      <c r="L90" s="1012" t="s">
        <v>410</v>
      </c>
      <c r="M90" s="1007" t="s">
        <v>411</v>
      </c>
      <c r="N90" s="1012" t="s">
        <v>412</v>
      </c>
      <c r="O90" s="1007" t="s">
        <v>413</v>
      </c>
      <c r="P90" s="1012" t="s">
        <v>414</v>
      </c>
      <c r="Q90" s="1007" t="s">
        <v>415</v>
      </c>
      <c r="R90" s="1012" t="s">
        <v>416</v>
      </c>
      <c r="S90" s="1007" t="s">
        <v>417</v>
      </c>
    </row>
    <row r="91" spans="1:19" s="651" customFormat="1" ht="15" customHeight="1" x14ac:dyDescent="0.25">
      <c r="A91" s="1017"/>
      <c r="B91" s="1018"/>
      <c r="C91" s="1018"/>
      <c r="D91" s="1019"/>
      <c r="E91" s="1031"/>
      <c r="F91" s="1032"/>
      <c r="G91" s="1008"/>
      <c r="H91" s="1013"/>
      <c r="I91" s="1008"/>
      <c r="J91" s="1013"/>
      <c r="K91" s="1008"/>
      <c r="L91" s="1013"/>
      <c r="M91" s="1008"/>
      <c r="N91" s="1013"/>
      <c r="O91" s="1008"/>
      <c r="P91" s="1013"/>
      <c r="Q91" s="1008"/>
      <c r="R91" s="1013"/>
      <c r="S91" s="1008"/>
    </row>
    <row r="92" spans="1:19" s="651" customFormat="1" ht="15" customHeight="1" x14ac:dyDescent="0.25">
      <c r="A92" s="1017"/>
      <c r="B92" s="1018"/>
      <c r="C92" s="1018"/>
      <c r="D92" s="1019"/>
      <c r="E92" s="1027" t="s">
        <v>418</v>
      </c>
      <c r="F92" s="1028"/>
      <c r="G92" s="1009" t="str">
        <f ca="1">G100&amp;G101&amp;G102&amp;G103&amp;G104&amp;G105&amp;G106&amp;G107&amp;G108&amp;G109&amp;G110&amp;G111&amp;G112&amp;G113&amp;G114&amp;G115&amp;G116&amp;G117&amp;G118&amp;G119&amp;G120&amp;G121&amp;G122&amp;G123&amp;G124&amp;G125&amp;G126&amp;G127&amp;G128&amp;G129&amp;G130&amp;G131</f>
        <v>E1D4F2D2E4D3D1F3E3E2F4F1</v>
      </c>
      <c r="H92" s="1000"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09" t="str">
        <f t="shared" ca="1" si="7"/>
        <v>B4C2A1C4A3B3B2A2C3C1B1A4</v>
      </c>
      <c r="J92" s="1000" t="str">
        <f t="shared" ca="1" si="7"/>
        <v>B4C2A1C4D4A3B3B2D2D3D1A2C3C1B1A4</v>
      </c>
      <c r="K92" s="1009" t="str">
        <f t="shared" ca="1" si="7"/>
        <v>B4E1A1D4F2A3B3B2D2E4D3D1F3E3A2E2B1F4F1A4</v>
      </c>
      <c r="L92" s="1000" t="str">
        <f t="shared" ca="1" si="7"/>
        <v>C2A1C4A3A2C3C1A4</v>
      </c>
      <c r="M92" s="1009" t="str">
        <f t="shared" ca="1" si="7"/>
        <v>B4C2A1C4F2A3B3B2F3A2C3C1B1F4F1A4</v>
      </c>
      <c r="N92" s="1000" t="str">
        <f t="shared" ca="1" si="7"/>
        <v>E1D4D2E4D3D1E3E2</v>
      </c>
      <c r="O92" s="1009" t="str">
        <f t="shared" ca="1" si="7"/>
        <v>E1C2C4D4F2D2E4D3D1F3E3C3C1E2F4F1</v>
      </c>
      <c r="P92" s="1000" t="str">
        <f t="shared" ca="1" si="7"/>
        <v>B4A1A3B3B2A2B1A4</v>
      </c>
      <c r="Q92" s="1009" t="str">
        <f t="shared" ca="1" si="7"/>
        <v>B4E1C2A1C4D4A3B3B2D2E4D3D1E3A2C3C1E2B1A4</v>
      </c>
      <c r="R92" s="1000" t="str">
        <f t="shared" ca="1" si="7"/>
        <v>D4F2D2D3D1F3F4F1</v>
      </c>
      <c r="S92" s="1009" t="str">
        <f t="shared" ca="1" si="7"/>
        <v>B4E1C2A1C4D4F2A3B3B2D2E4D3D1F3E3A2C3C1E2B1F4F1A4</v>
      </c>
    </row>
    <row r="93" spans="1:19" s="651" customFormat="1" ht="15" customHeight="1" x14ac:dyDescent="0.25">
      <c r="A93" s="1017"/>
      <c r="B93" s="1018"/>
      <c r="C93" s="1018"/>
      <c r="D93" s="1019"/>
      <c r="E93" s="1029"/>
      <c r="F93" s="1030"/>
      <c r="G93" s="1010"/>
      <c r="H93" s="1001"/>
      <c r="I93" s="1010"/>
      <c r="J93" s="1001"/>
      <c r="K93" s="1010"/>
      <c r="L93" s="1001"/>
      <c r="M93" s="1010"/>
      <c r="N93" s="1001"/>
      <c r="O93" s="1010"/>
      <c r="P93" s="1001"/>
      <c r="Q93" s="1010"/>
      <c r="R93" s="1001"/>
      <c r="S93" s="1010"/>
    </row>
    <row r="94" spans="1:19" s="651" customFormat="1" ht="15" customHeight="1" x14ac:dyDescent="0.25">
      <c r="A94" s="1017"/>
      <c r="B94" s="1018"/>
      <c r="C94" s="1018"/>
      <c r="D94" s="1019"/>
      <c r="E94" s="1029"/>
      <c r="F94" s="1030"/>
      <c r="G94" s="1010"/>
      <c r="H94" s="1001"/>
      <c r="I94" s="1010"/>
      <c r="J94" s="1001"/>
      <c r="K94" s="1010"/>
      <c r="L94" s="1001"/>
      <c r="M94" s="1010"/>
      <c r="N94" s="1001"/>
      <c r="O94" s="1010"/>
      <c r="P94" s="1001"/>
      <c r="Q94" s="1010"/>
      <c r="R94" s="1001"/>
      <c r="S94" s="1010"/>
    </row>
    <row r="95" spans="1:19" s="651" customFormat="1" ht="15" customHeight="1" x14ac:dyDescent="0.25">
      <c r="A95" s="1017"/>
      <c r="B95" s="1018"/>
      <c r="C95" s="1018"/>
      <c r="D95" s="1019"/>
      <c r="E95" s="1029"/>
      <c r="F95" s="1030"/>
      <c r="G95" s="1010"/>
      <c r="H95" s="1001"/>
      <c r="I95" s="1010"/>
      <c r="J95" s="1001"/>
      <c r="K95" s="1010"/>
      <c r="L95" s="1001"/>
      <c r="M95" s="1010"/>
      <c r="N95" s="1001"/>
      <c r="O95" s="1010"/>
      <c r="P95" s="1001"/>
      <c r="Q95" s="1010"/>
      <c r="R95" s="1001"/>
      <c r="S95" s="1010"/>
    </row>
    <row r="96" spans="1:19" s="651" customFormat="1" ht="15" customHeight="1" x14ac:dyDescent="0.25">
      <c r="A96" s="1017"/>
      <c r="B96" s="1018"/>
      <c r="C96" s="1018"/>
      <c r="D96" s="1019"/>
      <c r="E96" s="1029"/>
      <c r="F96" s="1030"/>
      <c r="G96" s="1010"/>
      <c r="H96" s="1001"/>
      <c r="I96" s="1010"/>
      <c r="J96" s="1001"/>
      <c r="K96" s="1010"/>
      <c r="L96" s="1001"/>
      <c r="M96" s="1010"/>
      <c r="N96" s="1001"/>
      <c r="O96" s="1010"/>
      <c r="P96" s="1001"/>
      <c r="Q96" s="1010"/>
      <c r="R96" s="1001"/>
      <c r="S96" s="1010"/>
    </row>
    <row r="97" spans="1:19" s="651" customFormat="1" ht="15" customHeight="1" x14ac:dyDescent="0.25">
      <c r="A97" s="1020"/>
      <c r="B97" s="1021"/>
      <c r="C97" s="1021"/>
      <c r="D97" s="1022"/>
      <c r="E97" s="1031"/>
      <c r="F97" s="1032"/>
      <c r="G97" s="1011"/>
      <c r="H97" s="1002"/>
      <c r="I97" s="1011"/>
      <c r="J97" s="1002"/>
      <c r="K97" s="1011"/>
      <c r="L97" s="1002"/>
      <c r="M97" s="1011"/>
      <c r="N97" s="1002"/>
      <c r="O97" s="1011"/>
      <c r="P97" s="1002"/>
      <c r="Q97" s="1011"/>
      <c r="R97" s="1002"/>
      <c r="S97" s="1011"/>
    </row>
    <row r="98" spans="1:19" s="651" customFormat="1" ht="15" customHeight="1" x14ac:dyDescent="0.25">
      <c r="A98" s="652"/>
      <c r="B98" s="653"/>
      <c r="C98" s="1023" t="s">
        <v>419</v>
      </c>
      <c r="D98" s="1024"/>
      <c r="E98" s="1003" t="s">
        <v>420</v>
      </c>
      <c r="F98" s="1005" t="s">
        <v>421</v>
      </c>
      <c r="G98" s="1003" t="s">
        <v>422</v>
      </c>
      <c r="H98" s="1005" t="s">
        <v>423</v>
      </c>
      <c r="I98" s="1003" t="s">
        <v>424</v>
      </c>
      <c r="J98" s="1005" t="s">
        <v>425</v>
      </c>
      <c r="K98" s="1003" t="s">
        <v>426</v>
      </c>
      <c r="L98" s="1005" t="s">
        <v>427</v>
      </c>
      <c r="M98" s="1003" t="s">
        <v>428</v>
      </c>
      <c r="N98" s="1005" t="s">
        <v>429</v>
      </c>
      <c r="O98" s="1003" t="s">
        <v>430</v>
      </c>
      <c r="P98" s="1005" t="s">
        <v>431</v>
      </c>
      <c r="Q98" s="1003" t="s">
        <v>432</v>
      </c>
      <c r="R98" s="1005" t="s">
        <v>433</v>
      </c>
      <c r="S98" s="1003" t="s">
        <v>434</v>
      </c>
    </row>
    <row r="99" spans="1:19" s="651" customFormat="1" ht="15" customHeight="1" x14ac:dyDescent="0.25">
      <c r="A99" s="654"/>
      <c r="B99" s="655"/>
      <c r="C99" s="1025"/>
      <c r="D99" s="1026"/>
      <c r="E99" s="1004"/>
      <c r="F99" s="1006"/>
      <c r="G99" s="1004"/>
      <c r="H99" s="1006"/>
      <c r="I99" s="1004"/>
      <c r="J99" s="1006"/>
      <c r="K99" s="1004"/>
      <c r="L99" s="1006"/>
      <c r="M99" s="1004"/>
      <c r="N99" s="1006"/>
      <c r="O99" s="1004"/>
      <c r="P99" s="1006"/>
      <c r="Q99" s="1004"/>
      <c r="R99" s="1006"/>
      <c r="S99" s="1004"/>
    </row>
    <row r="100" spans="1:19" s="651" customFormat="1" x14ac:dyDescent="0.25">
      <c r="A100" s="639" t="s">
        <v>435</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0</v>
      </c>
      <c r="C1" s="557">
        <f>Taal01!$C$1</f>
        <v>1</v>
      </c>
    </row>
    <row r="2" spans="1:6" s="555" customFormat="1" x14ac:dyDescent="0.25">
      <c r="A2" s="556" t="s">
        <v>1</v>
      </c>
      <c r="C2" s="557">
        <f>$C$1+2</f>
        <v>3</v>
      </c>
    </row>
    <row r="3" spans="1:6" s="559" customFormat="1" x14ac:dyDescent="0.25">
      <c r="A3" s="558" t="s">
        <v>2</v>
      </c>
      <c r="B3" s="781" t="s">
        <v>3</v>
      </c>
      <c r="C3" s="559" t="s">
        <v>4</v>
      </c>
      <c r="D3" s="559" t="s">
        <v>5</v>
      </c>
      <c r="E3" s="559" t="s">
        <v>6</v>
      </c>
      <c r="F3" s="559" t="s">
        <v>7</v>
      </c>
    </row>
    <row r="4" spans="1:6" s="537" customFormat="1" x14ac:dyDescent="0.25">
      <c r="A4" s="560"/>
      <c r="B4" s="782"/>
    </row>
    <row r="5" spans="1:6" s="538" customFormat="1" x14ac:dyDescent="0.25">
      <c r="A5" s="561" t="s">
        <v>436</v>
      </c>
      <c r="B5" s="783"/>
    </row>
    <row r="6" spans="1:6" s="565" customFormat="1" x14ac:dyDescent="0.25">
      <c r="A6" s="564" t="str">
        <f>"03-C-001"</f>
        <v>03-C-001</v>
      </c>
      <c r="B6" s="784" t="str">
        <f t="shared" ref="B6:B29" ca="1" si="0">TRIM(INDIRECT(CHAR(64+$C$2)&amp;ROW()))</f>
        <v>Het Algemeen Reglement</v>
      </c>
      <c r="C6" s="565" t="s">
        <v>437</v>
      </c>
      <c r="D6" s="565" t="s">
        <v>438</v>
      </c>
      <c r="E6" s="565" t="s">
        <v>439</v>
      </c>
      <c r="F6" s="565" t="s">
        <v>440</v>
      </c>
    </row>
    <row r="7" spans="1:6" s="538" customFormat="1" x14ac:dyDescent="0.25">
      <c r="A7" s="549" t="str">
        <f t="shared" ref="A7:A74" si="1">LEFT(A6,5)&amp;RIGHT("000"&amp;RIGHT(A6,3)*1+1,3)</f>
        <v>03-C-002</v>
      </c>
      <c r="B7" s="788" t="str">
        <f t="shared" ca="1" si="0"/>
        <v>(pagina #)</v>
      </c>
      <c r="C7" s="538" t="s">
        <v>441</v>
      </c>
      <c r="D7" s="538" t="s">
        <v>442</v>
      </c>
      <c r="E7" s="538" t="s">
        <v>443</v>
      </c>
      <c r="F7" s="538" t="s">
        <v>444</v>
      </c>
    </row>
    <row r="8" spans="1:6" s="565" customFormat="1" x14ac:dyDescent="0.25">
      <c r="A8" s="564" t="str">
        <f t="shared" si="1"/>
        <v>03-C-003</v>
      </c>
      <c r="B8" s="784" t="str">
        <f t="shared" ca="1" si="0"/>
        <v>De Regels</v>
      </c>
      <c r="C8" s="565" t="s">
        <v>445</v>
      </c>
      <c r="D8" s="565" t="s">
        <v>446</v>
      </c>
      <c r="E8" s="565" t="s">
        <v>447</v>
      </c>
      <c r="F8" s="565" t="s">
        <v>448</v>
      </c>
    </row>
    <row r="9" spans="1:6" s="538" customFormat="1" x14ac:dyDescent="0.25">
      <c r="A9" s="549" t="str">
        <f t="shared" si="1"/>
        <v>03-C-004</v>
      </c>
      <c r="B9" s="788" t="str">
        <f t="shared" ca="1" si="0"/>
        <v>De Deelnamecode en/of het Deelname Formulier dienen voor ### ingeleverd te worden bij $$$ (&amp;&amp;&amp;).</v>
      </c>
      <c r="C9" s="538" t="s">
        <v>449</v>
      </c>
      <c r="D9" s="538" t="s">
        <v>450</v>
      </c>
      <c r="E9" s="538" t="s">
        <v>451</v>
      </c>
      <c r="F9" s="538" t="s">
        <v>452</v>
      </c>
    </row>
    <row r="10" spans="1:6" s="537" customFormat="1" x14ac:dyDescent="0.25">
      <c r="A10" s="550" t="str">
        <f t="shared" si="1"/>
        <v>03-C-005</v>
      </c>
      <c r="B10" s="787" t="str">
        <f t="shared" ca="1" si="0"/>
        <v>De Deelnamecode en/of het Deelname Formulier dienen voor ### gemaild te worden naar &amp;&amp;&amp;.</v>
      </c>
      <c r="C10" s="537" t="s">
        <v>453</v>
      </c>
      <c r="D10" s="537" t="s">
        <v>454</v>
      </c>
      <c r="E10" s="537" t="s">
        <v>455</v>
      </c>
      <c r="F10" s="537" t="s">
        <v>456</v>
      </c>
    </row>
    <row r="11" spans="1:6" s="541" customFormat="1" x14ac:dyDescent="0.25">
      <c r="A11" s="539" t="str">
        <f t="shared" si="1"/>
        <v>03-C-006</v>
      </c>
      <c r="B11" s="791" t="str">
        <f t="shared" ca="1" si="0"/>
        <v>Ook de inleg dient voor de sluitingsdatum betaald te worden.</v>
      </c>
      <c r="C11" s="541" t="s">
        <v>457</v>
      </c>
      <c r="D11" s="541" t="s">
        <v>458</v>
      </c>
      <c r="E11" s="541" t="s">
        <v>459</v>
      </c>
      <c r="F11" s="541" t="s">
        <v>460</v>
      </c>
    </row>
    <row r="12" spans="1:6" s="544" customFormat="1" x14ac:dyDescent="0.25">
      <c r="A12" s="542" t="str">
        <f t="shared" si="1"/>
        <v>03-C-007</v>
      </c>
      <c r="B12" s="790" t="str">
        <f t="shared" ca="1" si="0"/>
        <v>Wanneer dit niet tijdig is gebeurd wordt de deelname ongeldig verklaard.</v>
      </c>
      <c r="C12" s="544" t="s">
        <v>461</v>
      </c>
      <c r="D12" s="544" t="s">
        <v>462</v>
      </c>
      <c r="E12" s="544" t="s">
        <v>463</v>
      </c>
      <c r="F12" s="544" t="s">
        <v>464</v>
      </c>
    </row>
    <row r="13" spans="1:6" s="541" customFormat="1" x14ac:dyDescent="0.25">
      <c r="A13" s="549" t="str">
        <f t="shared" si="1"/>
        <v>03-C-008</v>
      </c>
      <c r="B13" s="788" t="str">
        <f t="shared" ca="1" si="0"/>
        <v>Na de start van de openingsceremonie is het niet meer mogelijk om uw voorspellingen aan te passen.</v>
      </c>
      <c r="C13" s="538" t="s">
        <v>465</v>
      </c>
      <c r="D13" s="538" t="s">
        <v>466</v>
      </c>
      <c r="E13" s="538" t="s">
        <v>467</v>
      </c>
      <c r="F13" s="538" t="s">
        <v>468</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469</v>
      </c>
      <c r="D14" s="544" t="s">
        <v>470</v>
      </c>
      <c r="E14" s="544" t="s">
        <v>471</v>
      </c>
      <c r="F14" s="544" t="s">
        <v>472</v>
      </c>
    </row>
    <row r="15" spans="1:6" s="538" customFormat="1" x14ac:dyDescent="0.25">
      <c r="A15" s="549" t="str">
        <f t="shared" si="1"/>
        <v>03-C-010</v>
      </c>
      <c r="B15" s="788" t="str">
        <f t="shared" ca="1" si="0"/>
        <v>Bij deze pool is deelname gratis en is er dus geen inleg verplicht om mee te spelen.</v>
      </c>
      <c r="C15" s="538" t="s">
        <v>473</v>
      </c>
      <c r="D15" s="538" t="s">
        <v>474</v>
      </c>
      <c r="E15" s="538" t="s">
        <v>475</v>
      </c>
      <c r="F15" s="538" t="s">
        <v>476</v>
      </c>
    </row>
    <row r="16" spans="1:6" s="537" customFormat="1" x14ac:dyDescent="0.25">
      <c r="A16" s="550" t="str">
        <f t="shared" si="1"/>
        <v>03-C-011</v>
      </c>
      <c r="B16" s="787" t="str">
        <f t="shared" ca="1" si="0"/>
        <v>Ondanks de prijzenpot is deelname aan deze pool gratis</v>
      </c>
      <c r="C16" s="537" t="s">
        <v>477</v>
      </c>
      <c r="D16" s="537" t="s">
        <v>478</v>
      </c>
      <c r="E16" s="537" t="s">
        <v>479</v>
      </c>
      <c r="F16" s="537" t="s">
        <v>480</v>
      </c>
    </row>
    <row r="17" spans="1:6" s="538" customFormat="1" x14ac:dyDescent="0.25">
      <c r="A17" s="549" t="str">
        <f t="shared" si="1"/>
        <v>03-C-012</v>
      </c>
      <c r="B17" s="788" t="str">
        <f t="shared" ca="1" si="0"/>
        <v>Deze pool heeft voor deelname een verplichte inleg van €###</v>
      </c>
      <c r="C17" s="538" t="s">
        <v>481</v>
      </c>
      <c r="D17" s="538" t="s">
        <v>482</v>
      </c>
      <c r="E17" s="538" t="s">
        <v>483</v>
      </c>
      <c r="F17" s="538" t="s">
        <v>484</v>
      </c>
    </row>
    <row r="18" spans="1:6" s="537" customFormat="1" x14ac:dyDescent="0.25">
      <c r="A18" s="550" t="str">
        <f t="shared" si="1"/>
        <v>03-C-013</v>
      </c>
      <c r="B18" s="787" t="str">
        <f t="shared" ca="1" si="0"/>
        <v>Deze pool heeft voor deelname een optionele inleg van €###</v>
      </c>
      <c r="C18" s="537" t="s">
        <v>485</v>
      </c>
      <c r="D18" s="537" t="s">
        <v>486</v>
      </c>
      <c r="E18" s="537" t="s">
        <v>487</v>
      </c>
      <c r="F18" s="537" t="s">
        <v>488</v>
      </c>
    </row>
    <row r="19" spans="1:6" s="538" customFormat="1" x14ac:dyDescent="0.25">
      <c r="A19" s="549" t="str">
        <f t="shared" si="1"/>
        <v>03-C-014</v>
      </c>
      <c r="B19" s="788" t="str">
        <f t="shared" ca="1" si="0"/>
        <v>(zie werkblad 'Prijzenpot' voor meer info).</v>
      </c>
      <c r="C19" s="538" t="s">
        <v>489</v>
      </c>
      <c r="D19" s="538" t="s">
        <v>490</v>
      </c>
      <c r="E19" s="538" t="s">
        <v>491</v>
      </c>
      <c r="F19" s="538" t="s">
        <v>492</v>
      </c>
    </row>
    <row r="20" spans="1:6" s="537" customFormat="1" x14ac:dyDescent="0.25">
      <c r="A20" s="550" t="str">
        <f t="shared" si="1"/>
        <v>03-C-015</v>
      </c>
      <c r="B20" s="787" t="str">
        <f t="shared" ca="1" si="0"/>
        <v>(zie de volgende pagina voor meer info).</v>
      </c>
      <c r="C20" s="537" t="s">
        <v>493</v>
      </c>
      <c r="D20" s="537" t="s">
        <v>494</v>
      </c>
      <c r="E20" s="537" t="s">
        <v>495</v>
      </c>
      <c r="F20" s="537" t="s">
        <v>496</v>
      </c>
    </row>
    <row r="21" spans="1:6" s="538" customFormat="1" x14ac:dyDescent="0.25">
      <c r="A21" s="549" t="str">
        <f t="shared" si="1"/>
        <v>03-C-016</v>
      </c>
      <c r="B21" s="788" t="str">
        <f t="shared" ca="1" si="0"/>
        <v>Het is wel toegestaan om als deelnemer meerdere deelname formulieren in te leveren.</v>
      </c>
      <c r="C21" s="538" t="s">
        <v>497</v>
      </c>
      <c r="D21" s="538" t="s">
        <v>498</v>
      </c>
      <c r="E21" s="538" t="s">
        <v>499</v>
      </c>
      <c r="F21" s="538" t="s">
        <v>500</v>
      </c>
    </row>
    <row r="22" spans="1:6" s="537" customFormat="1" x14ac:dyDescent="0.25">
      <c r="A22" s="550" t="str">
        <f t="shared" si="1"/>
        <v>03-C-017</v>
      </c>
      <c r="B22" s="787" t="str">
        <f t="shared" ca="1" si="0"/>
        <v>Het is niet toegestaan om als deelnemer meerdere deelname formulieren in te leveren.</v>
      </c>
      <c r="C22" s="537" t="s">
        <v>501</v>
      </c>
      <c r="D22" s="537" t="s">
        <v>502</v>
      </c>
      <c r="E22" s="537" t="s">
        <v>503</v>
      </c>
      <c r="F22" s="537" t="s">
        <v>504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505</v>
      </c>
      <c r="D23" s="538" t="s">
        <v>506</v>
      </c>
      <c r="E23" s="538" t="s">
        <v>507</v>
      </c>
      <c r="F23" s="538" t="s">
        <v>508</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509</v>
      </c>
      <c r="D24" s="537" t="s">
        <v>510</v>
      </c>
      <c r="E24" s="537" t="s">
        <v>511</v>
      </c>
      <c r="F24" s="537" t="s">
        <v>512</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513</v>
      </c>
      <c r="D25" s="538" t="s">
        <v>514</v>
      </c>
      <c r="E25" s="538" t="s">
        <v>515</v>
      </c>
      <c r="F25" s="538" t="s">
        <v>516</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517</v>
      </c>
      <c r="D26" s="537" t="s">
        <v>518</v>
      </c>
      <c r="E26" s="537" t="s">
        <v>519</v>
      </c>
      <c r="F26" s="537" t="s">
        <v>520</v>
      </c>
    </row>
    <row r="27" spans="1:6" s="538" customFormat="1" x14ac:dyDescent="0.25">
      <c r="A27" s="549" t="str">
        <f t="shared" si="1"/>
        <v>03-C-022</v>
      </c>
      <c r="B27" s="788" t="str">
        <f t="shared" ca="1" si="0"/>
        <v>Een gelijkspel in de finalewedstrijden is dus ook mogelijk.</v>
      </c>
      <c r="C27" s="538" t="s">
        <v>521</v>
      </c>
      <c r="D27" s="538" t="s">
        <v>522</v>
      </c>
      <c r="E27" s="538" t="s">
        <v>523</v>
      </c>
      <c r="F27" s="538" t="s">
        <v>524</v>
      </c>
    </row>
    <row r="28" spans="1:6" s="537" customFormat="1" x14ac:dyDescent="0.25">
      <c r="A28" s="550" t="str">
        <f t="shared" si="1"/>
        <v>03-C-023</v>
      </c>
      <c r="B28" s="787" t="str">
        <f t="shared" ca="1" si="0"/>
        <v>In gevallen waar het reglement niet in voorziet, beslist de wedstrijdleiding.</v>
      </c>
      <c r="C28" s="537" t="s">
        <v>525</v>
      </c>
      <c r="D28" s="537" t="s">
        <v>526</v>
      </c>
      <c r="E28" s="537" t="s">
        <v>527</v>
      </c>
      <c r="F28" s="537" t="s">
        <v>528</v>
      </c>
    </row>
    <row r="29" spans="1:6" s="538" customFormat="1" x14ac:dyDescent="0.25">
      <c r="A29" s="549" t="str">
        <f t="shared" si="1"/>
        <v>03-C-024</v>
      </c>
      <c r="B29" s="788" t="str">
        <f t="shared" ca="1" si="0"/>
        <v>Door het inleveren van het deelname formulier gaat u akkoord met dit wedstrijdreglement.</v>
      </c>
      <c r="C29" s="538" t="s">
        <v>529</v>
      </c>
      <c r="D29" s="538" t="s">
        <v>530</v>
      </c>
      <c r="E29" s="538" t="s">
        <v>531</v>
      </c>
      <c r="F29" s="538" t="s">
        <v>532</v>
      </c>
    </row>
    <row r="30" spans="1:6" s="544" customFormat="1" x14ac:dyDescent="0.25">
      <c r="A30" s="542" t="str">
        <f t="shared" si="1"/>
        <v>03-C-025</v>
      </c>
      <c r="B30" s="790"/>
      <c r="F30" s="544" t="s">
        <v>533</v>
      </c>
    </row>
    <row r="31" spans="1:6" s="541" customFormat="1" x14ac:dyDescent="0.25">
      <c r="A31" s="539" t="str">
        <f t="shared" si="1"/>
        <v>03-C-026</v>
      </c>
      <c r="B31" s="788"/>
      <c r="F31" s="541" t="s">
        <v>533</v>
      </c>
    </row>
    <row r="32" spans="1:6" s="544" customFormat="1" x14ac:dyDescent="0.25">
      <c r="A32" s="542" t="str">
        <f t="shared" si="1"/>
        <v>03-C-027</v>
      </c>
      <c r="B32" s="787"/>
      <c r="F32" s="544" t="s">
        <v>533</v>
      </c>
    </row>
    <row r="33" spans="1:6" s="541" customFormat="1" x14ac:dyDescent="0.25">
      <c r="A33" s="539" t="str">
        <f t="shared" si="1"/>
        <v>03-C-028</v>
      </c>
      <c r="B33" s="791"/>
      <c r="F33" s="541" t="s">
        <v>533</v>
      </c>
    </row>
    <row r="34" spans="1:6" s="544" customFormat="1" x14ac:dyDescent="0.25">
      <c r="A34" s="542" t="str">
        <f t="shared" si="1"/>
        <v>03-C-029</v>
      </c>
      <c r="B34" s="790"/>
      <c r="F34" s="544" t="s">
        <v>533</v>
      </c>
    </row>
    <row r="35" spans="1:6" s="538" customFormat="1" x14ac:dyDescent="0.25">
      <c r="A35" s="549" t="str">
        <f t="shared" si="1"/>
        <v>03-C-030</v>
      </c>
      <c r="B35" s="788" t="str">
        <f t="shared" ref="B35:B46" ca="1" si="2">TRIM(INDIRECT(CHAR(64+$C$2)&amp;ROW()))</f>
        <v>januari</v>
      </c>
      <c r="C35" s="538" t="s">
        <v>534</v>
      </c>
      <c r="D35" s="538" t="s">
        <v>535</v>
      </c>
      <c r="E35" s="538" t="s">
        <v>536</v>
      </c>
      <c r="F35" s="538" t="s">
        <v>537</v>
      </c>
    </row>
    <row r="36" spans="1:6" s="537" customFormat="1" x14ac:dyDescent="0.25">
      <c r="A36" s="550" t="str">
        <f t="shared" si="1"/>
        <v>03-C-031</v>
      </c>
      <c r="B36" s="787" t="str">
        <f t="shared" ca="1" si="2"/>
        <v>februari</v>
      </c>
      <c r="C36" s="537" t="s">
        <v>538</v>
      </c>
      <c r="D36" s="537" t="s">
        <v>539</v>
      </c>
      <c r="E36" s="537" t="s">
        <v>540</v>
      </c>
      <c r="F36" s="537" t="s">
        <v>541</v>
      </c>
    </row>
    <row r="37" spans="1:6" s="538" customFormat="1" x14ac:dyDescent="0.25">
      <c r="A37" s="549" t="str">
        <f t="shared" si="1"/>
        <v>03-C-032</v>
      </c>
      <c r="B37" s="788" t="str">
        <f t="shared" ca="1" si="2"/>
        <v>maart</v>
      </c>
      <c r="C37" s="538" t="s">
        <v>542</v>
      </c>
      <c r="D37" s="538" t="s">
        <v>543</v>
      </c>
      <c r="E37" s="538" t="s">
        <v>544</v>
      </c>
      <c r="F37" s="538" t="s">
        <v>545</v>
      </c>
    </row>
    <row r="38" spans="1:6" s="537" customFormat="1" x14ac:dyDescent="0.25">
      <c r="A38" s="550" t="str">
        <f t="shared" si="1"/>
        <v>03-C-033</v>
      </c>
      <c r="B38" s="787" t="str">
        <f t="shared" ca="1" si="2"/>
        <v>april</v>
      </c>
      <c r="C38" s="537" t="s">
        <v>546</v>
      </c>
      <c r="D38" s="537" t="s">
        <v>547</v>
      </c>
      <c r="E38" s="537" t="s">
        <v>547</v>
      </c>
      <c r="F38" s="537" t="s">
        <v>547</v>
      </c>
    </row>
    <row r="39" spans="1:6" s="538" customFormat="1" x14ac:dyDescent="0.25">
      <c r="A39" s="549" t="str">
        <f t="shared" si="1"/>
        <v>03-C-034</v>
      </c>
      <c r="B39" s="788" t="str">
        <f t="shared" ca="1" si="2"/>
        <v>mei</v>
      </c>
      <c r="C39" s="538" t="s">
        <v>548</v>
      </c>
      <c r="D39" s="538" t="s">
        <v>549</v>
      </c>
      <c r="E39" s="538" t="s">
        <v>550</v>
      </c>
      <c r="F39" s="538" t="s">
        <v>551</v>
      </c>
    </row>
    <row r="40" spans="1:6" s="537" customFormat="1" x14ac:dyDescent="0.25">
      <c r="A40" s="550" t="str">
        <f t="shared" si="1"/>
        <v>03-C-035</v>
      </c>
      <c r="B40" s="787" t="str">
        <f t="shared" ca="1" si="2"/>
        <v>juni</v>
      </c>
      <c r="C40" s="537" t="s">
        <v>552</v>
      </c>
      <c r="D40" s="537" t="s">
        <v>553</v>
      </c>
      <c r="E40" s="537" t="s">
        <v>554</v>
      </c>
      <c r="F40" s="537" t="s">
        <v>554</v>
      </c>
    </row>
    <row r="41" spans="1:6" s="538" customFormat="1" x14ac:dyDescent="0.25">
      <c r="A41" s="549" t="str">
        <f t="shared" si="1"/>
        <v>03-C-036</v>
      </c>
      <c r="B41" s="788" t="str">
        <f t="shared" ca="1" si="2"/>
        <v>juli</v>
      </c>
      <c r="C41" s="538" t="s">
        <v>555</v>
      </c>
      <c r="D41" s="538" t="s">
        <v>556</v>
      </c>
      <c r="E41" s="538" t="s">
        <v>557</v>
      </c>
      <c r="F41" s="538" t="s">
        <v>557</v>
      </c>
    </row>
    <row r="42" spans="1:6" s="537" customFormat="1" x14ac:dyDescent="0.25">
      <c r="A42" s="550" t="str">
        <f t="shared" si="1"/>
        <v>03-C-037</v>
      </c>
      <c r="B42" s="787" t="str">
        <f t="shared" ca="1" si="2"/>
        <v>augustus</v>
      </c>
      <c r="C42" s="537" t="s">
        <v>558</v>
      </c>
      <c r="D42" s="537" t="s">
        <v>559</v>
      </c>
      <c r="E42" s="537" t="s">
        <v>559</v>
      </c>
      <c r="F42" s="537" t="s">
        <v>560</v>
      </c>
    </row>
    <row r="43" spans="1:6" s="538" customFormat="1" x14ac:dyDescent="0.25">
      <c r="A43" s="549" t="str">
        <f t="shared" si="1"/>
        <v>03-C-038</v>
      </c>
      <c r="B43" s="788" t="str">
        <f t="shared" ca="1" si="2"/>
        <v>september</v>
      </c>
      <c r="C43" s="538" t="s">
        <v>561</v>
      </c>
      <c r="D43" s="538" t="s">
        <v>562</v>
      </c>
      <c r="E43" s="538" t="s">
        <v>562</v>
      </c>
      <c r="F43" s="538" t="s">
        <v>562</v>
      </c>
    </row>
    <row r="44" spans="1:6" s="537" customFormat="1" x14ac:dyDescent="0.25">
      <c r="A44" s="550" t="str">
        <f t="shared" si="1"/>
        <v>03-C-039</v>
      </c>
      <c r="B44" s="787" t="str">
        <f t="shared" ca="1" si="2"/>
        <v>oktober</v>
      </c>
      <c r="C44" s="537" t="s">
        <v>563</v>
      </c>
      <c r="D44" s="537" t="s">
        <v>564</v>
      </c>
      <c r="E44" s="537" t="s">
        <v>565</v>
      </c>
      <c r="F44" s="537" t="s">
        <v>565</v>
      </c>
    </row>
    <row r="45" spans="1:6" s="538" customFormat="1" x14ac:dyDescent="0.25">
      <c r="A45" s="549" t="str">
        <f t="shared" si="1"/>
        <v>03-C-040</v>
      </c>
      <c r="B45" s="788" t="str">
        <f t="shared" ca="1" si="2"/>
        <v>november</v>
      </c>
      <c r="C45" s="538" t="s">
        <v>566</v>
      </c>
      <c r="D45" s="538" t="s">
        <v>567</v>
      </c>
      <c r="E45" s="538" t="s">
        <v>567</v>
      </c>
      <c r="F45" s="538" t="s">
        <v>567</v>
      </c>
    </row>
    <row r="46" spans="1:6" s="537" customFormat="1" x14ac:dyDescent="0.25">
      <c r="A46" s="550" t="str">
        <f t="shared" si="1"/>
        <v>03-C-041</v>
      </c>
      <c r="B46" s="787" t="str">
        <f t="shared" ca="1" si="2"/>
        <v>december</v>
      </c>
      <c r="C46" s="537" t="s">
        <v>568</v>
      </c>
      <c r="D46" s="537" t="s">
        <v>569</v>
      </c>
      <c r="E46" s="537" t="s">
        <v>570</v>
      </c>
      <c r="F46" s="537" t="s">
        <v>569</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571</v>
      </c>
      <c r="D49" s="563" t="s">
        <v>572</v>
      </c>
      <c r="E49" s="563" t="s">
        <v>573</v>
      </c>
      <c r="F49" s="563" t="s">
        <v>574</v>
      </c>
    </row>
    <row r="50" spans="1:6" s="537" customFormat="1" x14ac:dyDescent="0.25">
      <c r="A50" s="550" t="str">
        <f t="shared" si="1"/>
        <v>03-C-045</v>
      </c>
      <c r="B50" s="787" t="str">
        <f ca="1">TRIM(INDIRECT(CHAR(64+$C$2)&amp;ROW()))</f>
        <v>Punt</v>
      </c>
      <c r="C50" s="537" t="s">
        <v>575</v>
      </c>
      <c r="D50" s="537" t="s">
        <v>576</v>
      </c>
      <c r="E50" s="537" t="s">
        <v>577</v>
      </c>
      <c r="F50" s="537" t="s">
        <v>577</v>
      </c>
    </row>
    <row r="51" spans="1:6" s="538" customFormat="1" x14ac:dyDescent="0.25">
      <c r="A51" s="549" t="str">
        <f t="shared" si="1"/>
        <v>03-C-046</v>
      </c>
      <c r="B51" s="788" t="str">
        <f ca="1">TRIM(INDIRECT(CHAR(64+$C$2)&amp;ROW()))</f>
        <v>Punten</v>
      </c>
      <c r="C51" s="538" t="s">
        <v>578</v>
      </c>
      <c r="D51" s="538" t="s">
        <v>579</v>
      </c>
      <c r="E51" s="538" t="s">
        <v>580</v>
      </c>
      <c r="F51" s="538" t="s">
        <v>581</v>
      </c>
    </row>
    <row r="52" spans="1:6" s="544" customFormat="1" x14ac:dyDescent="0.25">
      <c r="A52" s="542" t="str">
        <f t="shared" si="1"/>
        <v>03-C-047</v>
      </c>
      <c r="B52" s="790"/>
      <c r="F52" s="544" t="s">
        <v>533</v>
      </c>
    </row>
    <row r="53" spans="1:6" s="541" customFormat="1" x14ac:dyDescent="0.25">
      <c r="A53" s="539" t="str">
        <f t="shared" si="1"/>
        <v>03-C-048</v>
      </c>
      <c r="B53" s="791"/>
      <c r="F53" s="541" t="s">
        <v>533</v>
      </c>
    </row>
    <row r="54" spans="1:6" s="569" customFormat="1" x14ac:dyDescent="0.25">
      <c r="A54" s="568" t="str">
        <f t="shared" si="1"/>
        <v>03-C-049</v>
      </c>
      <c r="B54" s="794" t="str">
        <f t="shared" ref="B54:B70" ca="1" si="3">TRIM(INDIRECT(CHAR(64+$C$2)&amp;ROW()))</f>
        <v>Het voorspellen van de landen in de finalewedstrijden</v>
      </c>
      <c r="C54" s="569" t="s">
        <v>582</v>
      </c>
      <c r="D54" s="569" t="s">
        <v>583</v>
      </c>
      <c r="E54" s="569" t="s">
        <v>584</v>
      </c>
      <c r="F54" s="569" t="s">
        <v>585</v>
      </c>
    </row>
    <row r="55" spans="1:6" s="538" customFormat="1" x14ac:dyDescent="0.25">
      <c r="A55" s="549" t="str">
        <f t="shared" si="1"/>
        <v>03-C-050</v>
      </c>
      <c r="B55" s="788" t="str">
        <f t="shared" ca="1" si="3"/>
        <v>het land hoeft niet op de juiste positie te staan</v>
      </c>
      <c r="C55" s="538" t="s">
        <v>586</v>
      </c>
      <c r="D55" s="538" t="s">
        <v>587</v>
      </c>
      <c r="E55" s="538" t="s">
        <v>588</v>
      </c>
      <c r="F55" s="538" t="s">
        <v>589</v>
      </c>
    </row>
    <row r="56" spans="1:6" s="537" customFormat="1" x14ac:dyDescent="0.25">
      <c r="A56" s="550" t="str">
        <f t="shared" si="1"/>
        <v>03-C-051</v>
      </c>
      <c r="B56" s="787" t="str">
        <f t="shared" ca="1" si="3"/>
        <v>het land dient op de juiste positie te staan</v>
      </c>
      <c r="C56" s="537" t="s">
        <v>590</v>
      </c>
      <c r="D56" s="537" t="s">
        <v>591</v>
      </c>
      <c r="E56" s="537" t="s">
        <v>592</v>
      </c>
      <c r="F56" s="537" t="s">
        <v>593</v>
      </c>
    </row>
    <row r="57" spans="1:6" s="538" customFormat="1" x14ac:dyDescent="0.25">
      <c r="A57" s="549" t="str">
        <f t="shared" si="1"/>
        <v>03-C-052</v>
      </c>
      <c r="B57" s="788" t="str">
        <f t="shared" ca="1" si="3"/>
        <v>voor het goed voorspellen van de winnaar van het EK.</v>
      </c>
      <c r="C57" s="538" t="s">
        <v>594</v>
      </c>
      <c r="D57" s="538" t="s">
        <v>595</v>
      </c>
      <c r="E57" s="538" t="s">
        <v>596</v>
      </c>
      <c r="F57" s="538" t="s">
        <v>597</v>
      </c>
    </row>
    <row r="58" spans="1:6" s="537" customFormat="1" x14ac:dyDescent="0.25">
      <c r="A58" s="550" t="str">
        <f t="shared" si="1"/>
        <v>03-C-053</v>
      </c>
      <c r="B58" s="787" t="str">
        <f t="shared" ca="1" si="3"/>
        <v>voor elk goed voorspelde land in de finale</v>
      </c>
      <c r="C58" s="537" t="s">
        <v>598</v>
      </c>
      <c r="D58" s="537" t="s">
        <v>599</v>
      </c>
      <c r="E58" s="537" t="s">
        <v>600</v>
      </c>
      <c r="F58" s="537" t="s">
        <v>601</v>
      </c>
    </row>
    <row r="59" spans="1:6" s="538" customFormat="1" x14ac:dyDescent="0.25">
      <c r="A59" s="549" t="str">
        <f t="shared" si="1"/>
        <v>03-C-054</v>
      </c>
      <c r="B59" s="788" t="str">
        <f t="shared" ca="1" si="3"/>
        <v>voor elk goed voorspelde land in de troostfinale</v>
      </c>
      <c r="C59" s="538" t="s">
        <v>602</v>
      </c>
      <c r="D59" s="538" t="s">
        <v>603</v>
      </c>
      <c r="E59" s="538" t="s">
        <v>604</v>
      </c>
      <c r="F59" s="538" t="s">
        <v>605</v>
      </c>
    </row>
    <row r="60" spans="1:6" s="537" customFormat="1" x14ac:dyDescent="0.25">
      <c r="A60" s="550" t="str">
        <f t="shared" si="1"/>
        <v>03-C-055</v>
      </c>
      <c r="B60" s="787" t="str">
        <f t="shared" ca="1" si="3"/>
        <v>voor elk goed voorspelde land in de halve finales</v>
      </c>
      <c r="C60" s="537" t="s">
        <v>606</v>
      </c>
      <c r="D60" s="537" t="s">
        <v>607</v>
      </c>
      <c r="E60" s="537" t="s">
        <v>608</v>
      </c>
      <c r="F60" s="537" t="s">
        <v>609</v>
      </c>
    </row>
    <row r="61" spans="1:6" s="538" customFormat="1" x14ac:dyDescent="0.25">
      <c r="A61" s="549" t="str">
        <f t="shared" si="1"/>
        <v>03-C-056</v>
      </c>
      <c r="B61" s="788" t="str">
        <f t="shared" ca="1" si="3"/>
        <v>voor elk goed voorspelde land in de kwartfinales</v>
      </c>
      <c r="C61" s="538" t="s">
        <v>610</v>
      </c>
      <c r="D61" s="538" t="s">
        <v>611</v>
      </c>
      <c r="E61" s="538" t="s">
        <v>612</v>
      </c>
      <c r="F61" s="538" t="s">
        <v>613</v>
      </c>
    </row>
    <row r="62" spans="1:6" s="537" customFormat="1" x14ac:dyDescent="0.25">
      <c r="A62" s="550" t="str">
        <f t="shared" si="1"/>
        <v>03-C-057</v>
      </c>
      <c r="B62" s="787" t="str">
        <f t="shared" ca="1" si="3"/>
        <v>voor elk goed voorspelde land in de achtste finales</v>
      </c>
      <c r="C62" s="537" t="s">
        <v>614</v>
      </c>
      <c r="D62" s="537" t="s">
        <v>615</v>
      </c>
      <c r="E62" s="537" t="s">
        <v>616</v>
      </c>
      <c r="F62" s="537" t="s">
        <v>617</v>
      </c>
    </row>
    <row r="63" spans="1:6" s="538" customFormat="1" x14ac:dyDescent="0.25">
      <c r="A63" s="549" t="str">
        <f t="shared" si="1"/>
        <v>03-C-058</v>
      </c>
      <c r="B63" s="788" t="str">
        <f t="shared" ca="1" si="3"/>
        <v>Heeft men het land niet op de juiste positie voorspeld maar het heeft wel de betreffende finaleronde</v>
      </c>
      <c r="C63" s="538" t="s">
        <v>618</v>
      </c>
      <c r="D63" s="538" t="s">
        <v>619</v>
      </c>
      <c r="E63" s="538" t="s">
        <v>620</v>
      </c>
      <c r="F63" s="538" t="s">
        <v>621</v>
      </c>
    </row>
    <row r="64" spans="1:6" s="537" customFormat="1" x14ac:dyDescent="0.25">
      <c r="A64" s="550" t="str">
        <f t="shared" si="1"/>
        <v>03-C-059</v>
      </c>
      <c r="B64" s="787" t="str">
        <f t="shared" ca="1" si="3"/>
        <v>behaald dan ontvangt men alsnog de helft van het aantal punten voor het juist voorspellen van het land.</v>
      </c>
      <c r="C64" s="537" t="s">
        <v>622</v>
      </c>
      <c r="D64" s="537" t="s">
        <v>623</v>
      </c>
      <c r="E64" s="537" t="s">
        <v>624</v>
      </c>
      <c r="F64" s="537" t="s">
        <v>625</v>
      </c>
    </row>
    <row r="65" spans="1:6" s="538" customFormat="1" x14ac:dyDescent="0.25">
      <c r="A65" s="549" t="str">
        <f t="shared" si="1"/>
        <v>03-C-060</v>
      </c>
      <c r="B65" s="788" t="str">
        <f t="shared" ca="1" si="3"/>
        <v>behaald dan ontvangt men alsnog het volledig aantal punten voor het juist voorspellen van het land.</v>
      </c>
      <c r="C65" s="538" t="s">
        <v>626</v>
      </c>
      <c r="D65" s="538" t="s">
        <v>627</v>
      </c>
      <c r="E65" s="538" t="s">
        <v>628</v>
      </c>
      <c r="F65" s="538" t="s">
        <v>629</v>
      </c>
    </row>
    <row r="66" spans="1:6" s="537" customFormat="1" ht="15" customHeight="1" x14ac:dyDescent="0.25">
      <c r="A66" s="550" t="str">
        <f t="shared" si="1"/>
        <v>03-C-061</v>
      </c>
      <c r="B66" s="787" t="str">
        <f t="shared" ca="1" si="3"/>
        <v>Het is niet toegestaan om een land meerdere keren te voorspellen in één finaleronde.</v>
      </c>
      <c r="C66" s="537" t="s">
        <v>630</v>
      </c>
      <c r="D66" s="537" t="s">
        <v>631</v>
      </c>
      <c r="E66" s="537" t="s">
        <v>632</v>
      </c>
      <c r="F66" s="537" t="s">
        <v>633</v>
      </c>
    </row>
    <row r="67" spans="1:6" s="538" customFormat="1" x14ac:dyDescent="0.25">
      <c r="A67" s="549" t="str">
        <f t="shared" si="1"/>
        <v>03-C-062</v>
      </c>
      <c r="B67" s="788" t="str">
        <f t="shared" ca="1" si="3"/>
        <v>Het is toegestaan om een land meerdere keren te voorspellen in één finaleronde.</v>
      </c>
      <c r="C67" s="538" t="s">
        <v>634</v>
      </c>
      <c r="D67" s="538" t="s">
        <v>635</v>
      </c>
      <c r="E67" s="538" t="s">
        <v>636</v>
      </c>
      <c r="F67" s="538" t="s">
        <v>637</v>
      </c>
    </row>
    <row r="68" spans="1:6" s="537" customFormat="1" x14ac:dyDescent="0.25">
      <c r="A68" s="550" t="str">
        <f t="shared" si="1"/>
        <v>03-C-063</v>
      </c>
      <c r="B68" s="787" t="str">
        <f t="shared" ca="1" si="3"/>
        <v>Punten voor het goed voorspellen van een land in de finaleronden worden pas meegeteld op het moment dat</v>
      </c>
      <c r="C68" s="537" t="s">
        <v>638</v>
      </c>
      <c r="D68" s="537" t="s">
        <v>639</v>
      </c>
      <c r="E68" s="537" t="s">
        <v>640</v>
      </c>
      <c r="F68" s="537" t="s">
        <v>641</v>
      </c>
    </row>
    <row r="69" spans="1:6" s="538" customFormat="1" x14ac:dyDescent="0.25">
      <c r="A69" s="549" t="str">
        <f t="shared" si="1"/>
        <v>03-C-064</v>
      </c>
      <c r="B69" s="788" t="str">
        <f t="shared" ca="1" si="3"/>
        <v>de uitslag van de betreffende wedstrijd bekend is.</v>
      </c>
      <c r="C69" s="538" t="s">
        <v>642</v>
      </c>
      <c r="D69" s="538" t="s">
        <v>643</v>
      </c>
      <c r="E69" s="538" t="s">
        <v>644</v>
      </c>
      <c r="F69" s="538" t="s">
        <v>645</v>
      </c>
    </row>
    <row r="70" spans="1:6" s="537" customFormat="1" x14ac:dyDescent="0.25">
      <c r="A70" s="550" t="str">
        <f t="shared" si="1"/>
        <v>03-C-065</v>
      </c>
      <c r="B70" s="787" t="str">
        <f t="shared" ca="1" si="3"/>
        <v>de uitslag van de betreffende wedstrijd bekend is of als het voorspelde land zijn wedstrijd heeft gespeeld.</v>
      </c>
      <c r="C70" s="537" t="s">
        <v>646</v>
      </c>
      <c r="D70" s="537" t="s">
        <v>647</v>
      </c>
      <c r="E70" s="537" t="s">
        <v>648</v>
      </c>
      <c r="F70" s="537" t="s">
        <v>649</v>
      </c>
    </row>
    <row r="71" spans="1:6" s="541" customFormat="1" x14ac:dyDescent="0.25">
      <c r="A71" s="539" t="str">
        <f t="shared" si="1"/>
        <v>03-C-066</v>
      </c>
      <c r="B71" s="791"/>
      <c r="F71" s="541" t="s">
        <v>533</v>
      </c>
    </row>
    <row r="72" spans="1:6" s="544" customFormat="1" x14ac:dyDescent="0.25">
      <c r="A72" s="542" t="str">
        <f t="shared" si="1"/>
        <v>03-C-067</v>
      </c>
      <c r="B72" s="790"/>
      <c r="F72" s="544" t="s">
        <v>533</v>
      </c>
    </row>
    <row r="73" spans="1:6" s="571" customFormat="1" x14ac:dyDescent="0.25">
      <c r="A73" s="570" t="str">
        <f t="shared" si="1"/>
        <v>03-C-068</v>
      </c>
      <c r="B73" s="795" t="str">
        <f ca="1">TRIM(INDIRECT(CHAR(64+$C$2)&amp;ROW()))</f>
        <v>Het voorspellen van de eindstand in de groep</v>
      </c>
      <c r="C73" s="571" t="s">
        <v>650</v>
      </c>
      <c r="D73" s="571" t="s">
        <v>651</v>
      </c>
      <c r="E73" s="571" t="s">
        <v>652</v>
      </c>
      <c r="F73" s="571" t="s">
        <v>653</v>
      </c>
    </row>
    <row r="74" spans="1:6" s="537" customFormat="1" x14ac:dyDescent="0.25">
      <c r="A74" s="550" t="str">
        <f t="shared" si="1"/>
        <v>03-C-069</v>
      </c>
      <c r="B74" s="787" t="str">
        <f ca="1">TRIM(INDIRECT(CHAR(64+$C$2)&amp;ROW()))</f>
        <v>voor elk goed voorspelde land bij de eindstand in de groep.</v>
      </c>
      <c r="C74" s="537" t="s">
        <v>654</v>
      </c>
      <c r="D74" s="537" t="s">
        <v>655</v>
      </c>
      <c r="E74" s="537" t="s">
        <v>656</v>
      </c>
      <c r="F74" s="537" t="s">
        <v>657</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658</v>
      </c>
      <c r="D75" s="538" t="s">
        <v>659</v>
      </c>
      <c r="E75" s="538" t="s">
        <v>660</v>
      </c>
      <c r="F75" s="538" t="s">
        <v>661</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662</v>
      </c>
      <c r="D76" s="537" t="s">
        <v>663</v>
      </c>
      <c r="E76" s="537" t="s">
        <v>664</v>
      </c>
      <c r="F76" s="537" t="s">
        <v>665</v>
      </c>
    </row>
    <row r="77" spans="1:6" s="541" customFormat="1" x14ac:dyDescent="0.25">
      <c r="A77" s="539" t="str">
        <f t="shared" si="4"/>
        <v>03-C-072</v>
      </c>
      <c r="B77" s="791"/>
      <c r="F77" s="541" t="s">
        <v>533</v>
      </c>
    </row>
    <row r="78" spans="1:6" s="544" customFormat="1" x14ac:dyDescent="0.25">
      <c r="A78" s="542" t="str">
        <f t="shared" si="4"/>
        <v>03-C-073</v>
      </c>
      <c r="B78" s="790"/>
      <c r="F78" s="544" t="s">
        <v>533</v>
      </c>
    </row>
    <row r="79" spans="1:6" s="571" customFormat="1" x14ac:dyDescent="0.25">
      <c r="A79" s="570" t="str">
        <f t="shared" si="4"/>
        <v>03-C-074</v>
      </c>
      <c r="B79" s="795" t="str">
        <f t="shared" ref="B79:B84" ca="1" si="5">TRIM(INDIRECT(CHAR(64+$C$2)&amp;ROW()))</f>
        <v>Het voorspellen van de TOTO</v>
      </c>
      <c r="C79" s="571" t="s">
        <v>666</v>
      </c>
      <c r="D79" s="571" t="s">
        <v>667</v>
      </c>
      <c r="E79" s="571" t="s">
        <v>668</v>
      </c>
      <c r="F79" s="571" t="s">
        <v>669</v>
      </c>
    </row>
    <row r="80" spans="1:6" s="537" customFormat="1" x14ac:dyDescent="0.25">
      <c r="A80" s="550" t="str">
        <f t="shared" si="4"/>
        <v>03-C-075</v>
      </c>
      <c r="B80" s="787" t="str">
        <f t="shared" ca="1" si="5"/>
        <v>voor het goed voorspellen van de TOTO (winst / verlies of gelijkspel).</v>
      </c>
      <c r="C80" s="537" t="s">
        <v>670</v>
      </c>
      <c r="D80" s="537" t="s">
        <v>671</v>
      </c>
      <c r="E80" s="537" t="s">
        <v>672</v>
      </c>
      <c r="F80" s="537" t="s">
        <v>673</v>
      </c>
    </row>
    <row r="81" spans="1:6" s="538" customFormat="1" x14ac:dyDescent="0.25">
      <c r="A81" s="549" t="str">
        <f t="shared" si="4"/>
        <v>03-C-076</v>
      </c>
      <c r="B81" s="788" t="str">
        <f t="shared" ca="1" si="5"/>
        <v>Bij de finalewedstrijden is het niet noodzakelijk om de landen juist voorspeld te hebben om aanspraak te maken</v>
      </c>
      <c r="C81" s="538" t="s">
        <v>674</v>
      </c>
      <c r="D81" s="538" t="s">
        <v>675</v>
      </c>
      <c r="E81" s="538" t="s">
        <v>676</v>
      </c>
      <c r="F81" s="538" t="s">
        <v>677</v>
      </c>
    </row>
    <row r="82" spans="1:6" s="537" customFormat="1" x14ac:dyDescent="0.25">
      <c r="A82" s="550" t="str">
        <f t="shared" si="4"/>
        <v>03-C-077</v>
      </c>
      <c r="B82" s="787" t="str">
        <f t="shared" ca="1" si="5"/>
        <v>Bij de finalewedstrijden dient men één of beide landen juist voorspeld te hebben om aanspraak te maken</v>
      </c>
      <c r="C82" s="537" t="s">
        <v>678</v>
      </c>
      <c r="D82" s="537" t="s">
        <v>679</v>
      </c>
      <c r="E82" s="537" t="s">
        <v>680</v>
      </c>
      <c r="F82" s="537" t="s">
        <v>681</v>
      </c>
    </row>
    <row r="83" spans="1:6" s="538" customFormat="1" x14ac:dyDescent="0.25">
      <c r="A83" s="549" t="str">
        <f t="shared" si="4"/>
        <v>03-C-078</v>
      </c>
      <c r="B83" s="788" t="str">
        <f t="shared" ca="1" si="5"/>
        <v>Bij de finalewedstrijden dient men beide landen juist voorspeld te hebben om aanspraak te maken</v>
      </c>
      <c r="C83" s="538" t="s">
        <v>682</v>
      </c>
      <c r="D83" s="538" t="s">
        <v>683</v>
      </c>
      <c r="E83" s="538" t="s">
        <v>684</v>
      </c>
      <c r="F83" s="538" t="s">
        <v>685</v>
      </c>
    </row>
    <row r="84" spans="1:6" s="537" customFormat="1" x14ac:dyDescent="0.25">
      <c r="A84" s="550" t="str">
        <f t="shared" si="4"/>
        <v>03-C-079</v>
      </c>
      <c r="B84" s="787" t="str">
        <f t="shared" ca="1" si="5"/>
        <v>op de punten voor het juist voorspellen van de TOTO.</v>
      </c>
      <c r="C84" s="537" t="s">
        <v>686</v>
      </c>
      <c r="D84" s="537" t="s">
        <v>687</v>
      </c>
      <c r="E84" s="537" t="s">
        <v>688</v>
      </c>
      <c r="F84" s="537" t="s">
        <v>689</v>
      </c>
    </row>
    <row r="85" spans="1:6" s="541" customFormat="1" x14ac:dyDescent="0.25">
      <c r="A85" s="539" t="str">
        <f t="shared" si="4"/>
        <v>03-C-080</v>
      </c>
      <c r="B85" s="791"/>
      <c r="F85" s="541" t="s">
        <v>533</v>
      </c>
    </row>
    <row r="86" spans="1:6" s="544" customFormat="1" x14ac:dyDescent="0.25">
      <c r="A86" s="542" t="str">
        <f t="shared" si="4"/>
        <v>03-C-081</v>
      </c>
      <c r="B86" s="790"/>
      <c r="F86" s="544" t="s">
        <v>533</v>
      </c>
    </row>
    <row r="87" spans="1:6" s="571" customFormat="1" x14ac:dyDescent="0.25">
      <c r="A87" s="570" t="str">
        <f t="shared" si="4"/>
        <v>03-C-082</v>
      </c>
      <c r="B87" s="795" t="str">
        <f t="shared" ref="B87:B106" ca="1" si="6">TRIM(INDIRECT(CHAR(64+$C$2)&amp;ROW()))</f>
        <v>Het voorspellen van de uitslag</v>
      </c>
      <c r="C87" s="571" t="s">
        <v>690</v>
      </c>
      <c r="D87" s="571" t="s">
        <v>691</v>
      </c>
      <c r="E87" s="571" t="s">
        <v>692</v>
      </c>
      <c r="F87" s="571" t="s">
        <v>693</v>
      </c>
    </row>
    <row r="88" spans="1:6" s="537" customFormat="1" x14ac:dyDescent="0.25">
      <c r="A88" s="550" t="str">
        <f t="shared" si="4"/>
        <v>03-C-083</v>
      </c>
      <c r="B88" s="787" t="str">
        <f t="shared" ca="1" si="6"/>
        <v>voor het goed voorspellen van het aantal gescoorde doelpunten per spelend team.</v>
      </c>
      <c r="C88" s="537" t="s">
        <v>694</v>
      </c>
      <c r="D88" s="537" t="s">
        <v>695</v>
      </c>
      <c r="E88" s="537" t="s">
        <v>696</v>
      </c>
      <c r="F88" s="537" t="s">
        <v>697</v>
      </c>
    </row>
    <row r="89" spans="1:6" s="538" customFormat="1" x14ac:dyDescent="0.25">
      <c r="A89" s="549" t="str">
        <f t="shared" si="4"/>
        <v>03-C-084</v>
      </c>
      <c r="B89" s="788" t="str">
        <f t="shared" ca="1" si="6"/>
        <v>voor het goed voorspellen van het aantal gescoorde doelpunten per spelend team, mits de TOTO juist</v>
      </c>
      <c r="C89" s="538" t="s">
        <v>698</v>
      </c>
      <c r="D89" s="538" t="s">
        <v>699</v>
      </c>
      <c r="E89" s="538" t="s">
        <v>700</v>
      </c>
      <c r="F89" s="538" t="s">
        <v>701</v>
      </c>
    </row>
    <row r="90" spans="1:6" s="537" customFormat="1" x14ac:dyDescent="0.25">
      <c r="A90" s="550" t="str">
        <f t="shared" si="4"/>
        <v>03-C-085</v>
      </c>
      <c r="B90" s="787" t="str">
        <f t="shared" ca="1" si="6"/>
        <v>is voorspeld.</v>
      </c>
      <c r="C90" s="537" t="s">
        <v>702</v>
      </c>
      <c r="D90" s="537" t="s">
        <v>703</v>
      </c>
      <c r="E90" s="537" t="s">
        <v>704</v>
      </c>
      <c r="F90" s="537" t="s">
        <v>705</v>
      </c>
    </row>
    <row r="91" spans="1:6" s="538" customFormat="1" x14ac:dyDescent="0.25">
      <c r="A91" s="549" t="str">
        <f t="shared" si="4"/>
        <v>03-C-086</v>
      </c>
      <c r="B91" s="788" t="str">
        <f t="shared" ca="1" si="6"/>
        <v>aftrek voor elk doelpunt dat de voorspelling afwijkt van de uitslag.</v>
      </c>
      <c r="C91" s="538" t="s">
        <v>706</v>
      </c>
      <c r="D91" s="538" t="s">
        <v>707</v>
      </c>
      <c r="E91" s="538" t="s">
        <v>708</v>
      </c>
      <c r="F91" s="538" t="s">
        <v>709</v>
      </c>
    </row>
    <row r="92" spans="1:6" s="537" customFormat="1" x14ac:dyDescent="0.25">
      <c r="A92" s="550" t="str">
        <f t="shared" si="4"/>
        <v>03-C-087</v>
      </c>
      <c r="B92" s="787" t="str">
        <f t="shared" ca="1" si="6"/>
        <v>aftrek voor elk doelpunt dat de voorspelling afwijkt van de uitslag (van het juist voorspelde land).</v>
      </c>
      <c r="C92" s="537" t="s">
        <v>710</v>
      </c>
      <c r="D92" s="537" t="s">
        <v>711</v>
      </c>
      <c r="E92" s="537" t="s">
        <v>712</v>
      </c>
      <c r="F92" s="537" t="s">
        <v>713</v>
      </c>
    </row>
    <row r="93" spans="1:6" s="538" customFormat="1" x14ac:dyDescent="0.25">
      <c r="A93" s="549" t="str">
        <f t="shared" si="4"/>
        <v>03-C-088</v>
      </c>
      <c r="B93" s="788" t="str">
        <f t="shared" ca="1" si="6"/>
        <v>Men ontvangt standaard ### $$$ voor elk land tijdens de groepswedstrijden, mits de TOTO juist is.</v>
      </c>
      <c r="C93" s="538" t="s">
        <v>714</v>
      </c>
      <c r="D93" s="538" t="s">
        <v>715</v>
      </c>
      <c r="E93" s="538" t="s">
        <v>716</v>
      </c>
      <c r="F93" s="538" t="s">
        <v>717</v>
      </c>
    </row>
    <row r="94" spans="1:6" s="537" customFormat="1" x14ac:dyDescent="0.25">
      <c r="A94" s="550" t="str">
        <f t="shared" si="4"/>
        <v>03-C-089</v>
      </c>
      <c r="B94" s="787" t="str">
        <f t="shared" ca="1" si="6"/>
        <v>Men ontvangt standaard ### $$$ voor elk land tijdens de groepswedstrijden.</v>
      </c>
      <c r="C94" s="537" t="s">
        <v>718</v>
      </c>
      <c r="D94" s="537" t="s">
        <v>719</v>
      </c>
      <c r="E94" s="537" t="s">
        <v>720</v>
      </c>
      <c r="F94" s="537" t="s">
        <v>721</v>
      </c>
    </row>
    <row r="95" spans="1:6" s="538" customFormat="1" x14ac:dyDescent="0.25">
      <c r="A95" s="549" t="str">
        <f t="shared" si="4"/>
        <v>03-C-090</v>
      </c>
      <c r="B95" s="788" t="str">
        <f t="shared" ca="1" si="6"/>
        <v>Men ontvangt standaard ### $$$ per groepswedstrijd, mits de TOTO juist is.</v>
      </c>
      <c r="C95" s="538" t="s">
        <v>722</v>
      </c>
      <c r="D95" s="538" t="s">
        <v>723</v>
      </c>
      <c r="E95" s="538" t="s">
        <v>724</v>
      </c>
      <c r="F95" s="538" t="s">
        <v>725</v>
      </c>
    </row>
    <row r="96" spans="1:6" s="537" customFormat="1" x14ac:dyDescent="0.25">
      <c r="A96" s="550" t="str">
        <f t="shared" si="4"/>
        <v>03-C-091</v>
      </c>
      <c r="B96" s="787" t="str">
        <f t="shared" ca="1" si="6"/>
        <v>Men ontvangt standaard ### $$$ per groepswedstrijd.</v>
      </c>
      <c r="C96" s="537" t="s">
        <v>726</v>
      </c>
      <c r="D96" s="537" t="s">
        <v>727</v>
      </c>
      <c r="E96" s="537" t="s">
        <v>728</v>
      </c>
      <c r="F96" s="537" t="s">
        <v>729</v>
      </c>
    </row>
    <row r="97" spans="1:6" s="538" customFormat="1" x14ac:dyDescent="0.25">
      <c r="A97" s="549" t="str">
        <f t="shared" si="4"/>
        <v>03-C-092</v>
      </c>
      <c r="B97" s="788" t="str">
        <f t="shared" ca="1" si="6"/>
        <v>Men ontvangt standaard ### $$$ per finalewedstrijd, mits de TOTO juist is.</v>
      </c>
      <c r="C97" s="538" t="s">
        <v>730</v>
      </c>
      <c r="D97" s="538" t="s">
        <v>731</v>
      </c>
      <c r="E97" s="538" t="s">
        <v>732</v>
      </c>
      <c r="F97" s="538" t="s">
        <v>733</v>
      </c>
    </row>
    <row r="98" spans="1:6" s="537" customFormat="1" x14ac:dyDescent="0.25">
      <c r="A98" s="550" t="str">
        <f t="shared" si="4"/>
        <v>03-C-093</v>
      </c>
      <c r="B98" s="787" t="str">
        <f t="shared" ca="1" si="6"/>
        <v>Men ontvangt standaard ### $$$ per finalewedstrijd.</v>
      </c>
      <c r="C98" s="537" t="s">
        <v>734</v>
      </c>
      <c r="D98" s="537" t="s">
        <v>735</v>
      </c>
      <c r="E98" s="537" t="s">
        <v>736</v>
      </c>
      <c r="F98" s="537" t="s">
        <v>737</v>
      </c>
    </row>
    <row r="99" spans="1:6" s="538" customFormat="1" x14ac:dyDescent="0.25">
      <c r="A99" s="549" t="str">
        <f t="shared" si="4"/>
        <v>03-C-094</v>
      </c>
      <c r="B99" s="788" t="str">
        <f t="shared" ca="1" si="6"/>
        <v>Men ontvangt standaard ### $$$ per finalewedstrijd mits één of beide landen en de TOTO juist zijn.</v>
      </c>
      <c r="C99" s="538" t="s">
        <v>738</v>
      </c>
      <c r="D99" s="538" t="s">
        <v>739</v>
      </c>
      <c r="E99" s="538" t="s">
        <v>740</v>
      </c>
      <c r="F99" s="538" t="s">
        <v>741</v>
      </c>
    </row>
    <row r="100" spans="1:6" s="537" customFormat="1" x14ac:dyDescent="0.25">
      <c r="A100" s="550" t="str">
        <f t="shared" si="4"/>
        <v>03-C-095</v>
      </c>
      <c r="B100" s="787" t="str">
        <f t="shared" ca="1" si="6"/>
        <v>Men ontvangt standaard ### $$$ per finalewedstrijd mits één of beide landen juist zijn voorspeld.</v>
      </c>
      <c r="C100" s="537" t="s">
        <v>742</v>
      </c>
      <c r="D100" s="537" t="s">
        <v>743</v>
      </c>
      <c r="E100" s="537" t="s">
        <v>744</v>
      </c>
      <c r="F100" s="537" t="s">
        <v>745</v>
      </c>
    </row>
    <row r="101" spans="1:6" s="538" customFormat="1" x14ac:dyDescent="0.25">
      <c r="A101" s="549" t="str">
        <f t="shared" si="4"/>
        <v>03-C-096</v>
      </c>
      <c r="B101" s="788" t="str">
        <f t="shared" ca="1" si="6"/>
        <v>Men ontvangt standaard ### $$$ per juist voorspelde land tijdens de finalewedstrijden, mits de TOTO juist is.</v>
      </c>
      <c r="C101" s="538" t="s">
        <v>746</v>
      </c>
      <c r="D101" s="538" t="s">
        <v>747</v>
      </c>
      <c r="E101" s="538" t="s">
        <v>748</v>
      </c>
      <c r="F101" s="538" t="s">
        <v>749</v>
      </c>
    </row>
    <row r="102" spans="1:6" s="537" customFormat="1" x14ac:dyDescent="0.25">
      <c r="A102" s="550" t="str">
        <f t="shared" si="4"/>
        <v>03-C-097</v>
      </c>
      <c r="B102" s="787" t="str">
        <f t="shared" ca="1" si="6"/>
        <v>Men ontvangt standaard ### $$$ per juist voorspelde land tijdens de finalewedstrijden.</v>
      </c>
      <c r="C102" s="537" t="s">
        <v>750</v>
      </c>
      <c r="D102" s="537" t="s">
        <v>751</v>
      </c>
      <c r="E102" s="537" t="s">
        <v>752</v>
      </c>
      <c r="F102" s="537" t="s">
        <v>753</v>
      </c>
    </row>
    <row r="103" spans="1:6" s="538" customFormat="1" x14ac:dyDescent="0.25">
      <c r="A103" s="549" t="str">
        <f t="shared" si="4"/>
        <v>03-C-098</v>
      </c>
      <c r="B103" s="788" t="str">
        <f t="shared" ca="1" si="6"/>
        <v>Men ontvangt standaard ### $$$ per finalewedstrijd mits beide landen en de TOTO juist zijn voorspeld.</v>
      </c>
      <c r="C103" s="538" t="s">
        <v>754</v>
      </c>
      <c r="D103" s="538" t="s">
        <v>755</v>
      </c>
      <c r="E103" s="538" t="s">
        <v>756</v>
      </c>
      <c r="F103" s="538" t="s">
        <v>757</v>
      </c>
    </row>
    <row r="104" spans="1:6" s="537" customFormat="1" x14ac:dyDescent="0.25">
      <c r="A104" s="550" t="str">
        <f t="shared" si="4"/>
        <v>03-C-099</v>
      </c>
      <c r="B104" s="787" t="str">
        <f t="shared" ca="1" si="6"/>
        <v>Men ontvangt standaard ### $$$ per finalewedstrijd mits beide landen juist zijn voorspeld.</v>
      </c>
      <c r="C104" s="537" t="s">
        <v>758</v>
      </c>
      <c r="D104" s="537" t="s">
        <v>759</v>
      </c>
      <c r="E104" s="537" t="s">
        <v>760</v>
      </c>
      <c r="F104" s="537" t="s">
        <v>761</v>
      </c>
    </row>
    <row r="105" spans="1:6" s="538" customFormat="1" x14ac:dyDescent="0.25">
      <c r="A105" s="549" t="str">
        <f t="shared" si="4"/>
        <v>03-C-100</v>
      </c>
      <c r="B105" s="788" t="str">
        <f t="shared" ca="1" si="6"/>
        <v>De aftrek van punten zal nooit hoger zijn dan de standaard verkregen punten.</v>
      </c>
      <c r="C105" s="538" t="s">
        <v>762</v>
      </c>
      <c r="D105" s="538" t="s">
        <v>763</v>
      </c>
      <c r="E105" s="538" t="s">
        <v>764</v>
      </c>
      <c r="F105" s="538" t="s">
        <v>765</v>
      </c>
    </row>
    <row r="106" spans="1:6" s="537" customFormat="1" x14ac:dyDescent="0.25">
      <c r="A106" s="550" t="str">
        <f t="shared" si="4"/>
        <v>03-C-101</v>
      </c>
      <c r="B106" s="787" t="str">
        <f t="shared" ca="1" si="6"/>
        <v>De aftrek van punten zal per land nooit hoger zijn dan de standaard verkregen punten per land.</v>
      </c>
      <c r="C106" s="537" t="s">
        <v>766</v>
      </c>
      <c r="D106" s="537" t="s">
        <v>767</v>
      </c>
      <c r="E106" s="537" t="s">
        <v>768</v>
      </c>
      <c r="F106" s="537" t="s">
        <v>769</v>
      </c>
    </row>
    <row r="107" spans="1:6" s="541" customFormat="1" x14ac:dyDescent="0.25">
      <c r="A107" s="539" t="str">
        <f t="shared" si="4"/>
        <v>03-C-102</v>
      </c>
      <c r="B107" s="791"/>
      <c r="F107" s="541" t="s">
        <v>533</v>
      </c>
    </row>
    <row r="108" spans="1:6" s="544" customFormat="1" x14ac:dyDescent="0.25">
      <c r="A108" s="542" t="str">
        <f t="shared" si="4"/>
        <v>03-C-103</v>
      </c>
      <c r="B108" s="790"/>
      <c r="F108" s="544" t="s">
        <v>533</v>
      </c>
    </row>
    <row r="109" spans="1:6" s="538" customFormat="1" x14ac:dyDescent="0.25">
      <c r="A109" s="570" t="str">
        <f t="shared" si="4"/>
        <v>03-C-104</v>
      </c>
      <c r="B109" s="795" t="str">
        <f t="shared" ref="B109:B119" ca="1" si="7">TRIM(INDIRECT(CHAR(64+$C$2)&amp;ROW()))</f>
        <v>Het voorspellen van de TOTO en de eindstand</v>
      </c>
      <c r="C109" s="571" t="s">
        <v>770</v>
      </c>
      <c r="D109" s="571" t="s">
        <v>771</v>
      </c>
      <c r="E109" s="571" t="s">
        <v>772</v>
      </c>
      <c r="F109" s="571" t="s">
        <v>773</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774</v>
      </c>
      <c r="D117" s="538" t="s">
        <v>775</v>
      </c>
      <c r="E117" s="538" t="s">
        <v>776</v>
      </c>
      <c r="F117" s="538" t="s">
        <v>777</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778</v>
      </c>
      <c r="D119" s="538" t="s">
        <v>779</v>
      </c>
      <c r="E119" s="538" t="s">
        <v>780</v>
      </c>
      <c r="F119" s="538" t="s">
        <v>781</v>
      </c>
    </row>
    <row r="120" spans="1:6" s="537" customFormat="1" x14ac:dyDescent="0.25">
      <c r="A120" s="550" t="str">
        <f t="shared" si="4"/>
        <v>03-C-115</v>
      </c>
      <c r="B120" s="787" t="str">
        <f ca="1">TRIM(INDIRECT(CHAR(64+$C$2)&amp;ROW()))</f>
        <v>op de punten voor het juist voorspellen van de eindstand.</v>
      </c>
      <c r="C120" s="537" t="s">
        <v>782</v>
      </c>
      <c r="D120" s="537" t="s">
        <v>783</v>
      </c>
      <c r="E120" s="537" t="s">
        <v>784</v>
      </c>
      <c r="F120" s="537" t="s">
        <v>785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533</v>
      </c>
    </row>
    <row r="124" spans="1:6" s="544" customFormat="1" x14ac:dyDescent="0.25">
      <c r="A124" s="542" t="str">
        <f t="shared" si="4"/>
        <v>03-C-119</v>
      </c>
      <c r="B124" s="790"/>
      <c r="F124" s="544" t="s">
        <v>533</v>
      </c>
    </row>
    <row r="125" spans="1:6" s="571" customFormat="1" x14ac:dyDescent="0.25">
      <c r="A125" s="549" t="str">
        <f t="shared" si="4"/>
        <v>03-C-120</v>
      </c>
      <c r="B125" s="795" t="str">
        <f t="shared" ref="B125:B147" ca="1" si="10">TRIM(INDIRECT(CHAR(64+$C$2)&amp;ROW()))</f>
        <v>Bonuspunten</v>
      </c>
      <c r="C125" s="571" t="s">
        <v>786</v>
      </c>
      <c r="D125" s="571" t="s">
        <v>787</v>
      </c>
      <c r="E125" s="571" t="s">
        <v>788</v>
      </c>
      <c r="F125" s="571" t="s">
        <v>789</v>
      </c>
    </row>
    <row r="126" spans="1:6" s="537" customFormat="1" x14ac:dyDescent="0.25">
      <c r="A126" s="550" t="str">
        <f t="shared" si="4"/>
        <v>03-C-121</v>
      </c>
      <c r="B126" s="787" t="str">
        <f t="shared" ca="1" si="10"/>
        <v>Bonus$$$ voor iedere finalewedstrijd waarbij beide landen op de juiste positie zijn voorspeld.</v>
      </c>
      <c r="C126" s="537" t="s">
        <v>790</v>
      </c>
      <c r="D126" s="537" t="s">
        <v>791</v>
      </c>
      <c r="E126" s="537" t="s">
        <v>792</v>
      </c>
      <c r="F126" s="537" t="s">
        <v>793</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794</v>
      </c>
      <c r="D128" s="537" t="s">
        <v>795</v>
      </c>
      <c r="E128" s="537" t="s">
        <v>796</v>
      </c>
      <c r="F128" s="537" t="s">
        <v>797</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798</v>
      </c>
      <c r="D130" s="537" t="s">
        <v>799</v>
      </c>
      <c r="E130" s="537" t="s">
        <v>800</v>
      </c>
      <c r="F130" s="537" t="s">
        <v>801</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802</v>
      </c>
      <c r="D132" s="537" t="s">
        <v>803</v>
      </c>
      <c r="E132" s="537" t="s">
        <v>804</v>
      </c>
      <c r="F132" s="537" t="s">
        <v>805</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806</v>
      </c>
      <c r="D134" s="537" t="s">
        <v>807</v>
      </c>
      <c r="E134" s="537" t="s">
        <v>808</v>
      </c>
      <c r="F134" s="537" t="s">
        <v>809</v>
      </c>
    </row>
    <row r="135" spans="1:6" s="538" customFormat="1" x14ac:dyDescent="0.25">
      <c r="A135" s="549" t="str">
        <f t="shared" si="4"/>
        <v>03-C-130</v>
      </c>
      <c r="B135" s="788" t="str">
        <f t="shared" ca="1" si="10"/>
        <v>(bij de finalewedstrijden dienen ook één of beide landen juist voorspeld te zijn).</v>
      </c>
      <c r="C135" s="538" t="s">
        <v>810</v>
      </c>
      <c r="D135" s="538" t="s">
        <v>811</v>
      </c>
      <c r="E135" s="538" t="s">
        <v>812</v>
      </c>
      <c r="F135" s="538" t="s">
        <v>813</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814</v>
      </c>
      <c r="D137" s="538" t="s">
        <v>815</v>
      </c>
      <c r="E137" s="538" t="s">
        <v>816</v>
      </c>
      <c r="F137" s="538" t="s">
        <v>817</v>
      </c>
    </row>
    <row r="138" spans="1:6" s="537" customFormat="1" x14ac:dyDescent="0.25">
      <c r="A138" s="550" t="str">
        <f t="shared" si="4"/>
        <v>03-C-133</v>
      </c>
      <c r="B138" s="787" t="str">
        <f t="shared" ca="1" si="10"/>
        <v>Bonus$$$ voor iedere groepswedstrijd waarbij het doelpuntenverschil tussen beide teams juist is voorspeld.</v>
      </c>
      <c r="C138" s="537" t="s">
        <v>818</v>
      </c>
      <c r="D138" s="537" t="s">
        <v>819</v>
      </c>
      <c r="E138" s="537" t="s">
        <v>820</v>
      </c>
      <c r="F138" s="537" t="s">
        <v>821</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822</v>
      </c>
      <c r="D140" s="537" t="s">
        <v>823</v>
      </c>
      <c r="E140" s="537" t="s">
        <v>824</v>
      </c>
      <c r="F140" s="537" t="s">
        <v>825</v>
      </c>
    </row>
    <row r="141" spans="1:6" s="538" customFormat="1" x14ac:dyDescent="0.25">
      <c r="A141" s="549" t="str">
        <f t="shared" si="4"/>
        <v>03-C-136</v>
      </c>
      <c r="B141" s="788" t="str">
        <f t="shared" ca="1" si="10"/>
        <v/>
      </c>
      <c r="D141" s="538" t="s">
        <v>826</v>
      </c>
      <c r="E141" s="538" t="s">
        <v>827</v>
      </c>
    </row>
    <row r="142" spans="1:6" s="537" customFormat="1" x14ac:dyDescent="0.25">
      <c r="A142" s="550" t="str">
        <f t="shared" si="4"/>
        <v>03-C-137</v>
      </c>
      <c r="B142" s="787" t="str">
        <f t="shared" ca="1" si="10"/>
        <v>Bonus$$$ voor iedere groeps- en finalewedstrijd waarbij het doelpuntenverschil tussen beide teams juist is voorspeld</v>
      </c>
      <c r="C142" s="537" t="s">
        <v>828</v>
      </c>
      <c r="D142" s="537" t="s">
        <v>823</v>
      </c>
      <c r="E142" s="537" t="s">
        <v>824</v>
      </c>
      <c r="F142" s="537" t="s">
        <v>829</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830</v>
      </c>
      <c r="D146" s="537" t="s">
        <v>831</v>
      </c>
      <c r="E146" s="537" t="s">
        <v>832</v>
      </c>
      <c r="F146" s="537" t="s">
        <v>833</v>
      </c>
    </row>
    <row r="147" spans="1:6" s="538" customFormat="1" x14ac:dyDescent="0.25">
      <c r="A147" s="539" t="str">
        <f t="shared" si="4"/>
        <v>03-C-142</v>
      </c>
      <c r="B147" s="788" t="str">
        <f t="shared" ca="1" si="10"/>
        <v/>
      </c>
    </row>
    <row r="148" spans="1:6" s="537" customFormat="1" x14ac:dyDescent="0.25">
      <c r="A148" s="542" t="str">
        <f t="shared" si="4"/>
        <v>03-C-143</v>
      </c>
      <c r="B148" s="787"/>
      <c r="F148" s="537" t="s">
        <v>533</v>
      </c>
    </row>
    <row r="149" spans="1:6" s="538" customFormat="1" x14ac:dyDescent="0.25">
      <c r="A149" s="539" t="str">
        <f t="shared" si="4"/>
        <v>03-C-144</v>
      </c>
      <c r="B149" s="788"/>
      <c r="F149" s="538" t="s">
        <v>533</v>
      </c>
    </row>
    <row r="150" spans="1:6" s="569" customFormat="1" x14ac:dyDescent="0.25">
      <c r="A150" s="568" t="str">
        <f>LEFT(A127,5)&amp;RIGHT("000"&amp;RIGHT(A127,3)*1+1,3)</f>
        <v>03-C-123</v>
      </c>
      <c r="B150" s="794" t="str">
        <f ca="1">TRIM(INDIRECT(CHAR(64+$C$2)&amp;ROW()))</f>
        <v>De bonusvragen</v>
      </c>
      <c r="C150" s="569" t="s">
        <v>834</v>
      </c>
      <c r="D150" s="569" t="s">
        <v>835</v>
      </c>
      <c r="E150" s="569" t="s">
        <v>836</v>
      </c>
      <c r="F150" s="569" t="s">
        <v>837</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838</v>
      </c>
      <c r="D151" s="538" t="s">
        <v>839</v>
      </c>
      <c r="E151" s="538" t="s">
        <v>840</v>
      </c>
      <c r="F151" s="538" t="s">
        <v>841</v>
      </c>
    </row>
    <row r="152" spans="1:6" s="537" customFormat="1" x14ac:dyDescent="0.25">
      <c r="A152" s="550" t="str">
        <f t="shared" si="4"/>
        <v>03-C-125</v>
      </c>
      <c r="B152" s="787" t="str">
        <f ca="1">TRIM(INDIRECT(CHAR(64+$C$2)&amp;ROW()))</f>
        <v>Zie de pagina met de bonusvragen voor de puntentelling bij het juist beantwoorden van de bonusvragen.</v>
      </c>
      <c r="C152" s="537" t="s">
        <v>842</v>
      </c>
      <c r="D152" s="537" t="s">
        <v>843</v>
      </c>
      <c r="E152" s="537" t="s">
        <v>844</v>
      </c>
      <c r="F152" s="537" t="s">
        <v>845</v>
      </c>
    </row>
    <row r="153" spans="1:6" s="538" customFormat="1" x14ac:dyDescent="0.25">
      <c r="A153" s="549" t="str">
        <f t="shared" si="4"/>
        <v>03-C-126</v>
      </c>
      <c r="B153" s="788" t="str">
        <f ca="1">TRIM(INDIRECT(CHAR(64+$C$2)&amp;ROW()))</f>
        <v>De punten voor de bonusvragen worden pas meegeteld als de winnaar van het EK bekend is.</v>
      </c>
      <c r="C153" s="538" t="s">
        <v>846</v>
      </c>
      <c r="D153" s="538" t="s">
        <v>847</v>
      </c>
      <c r="E153" s="538" t="s">
        <v>848</v>
      </c>
      <c r="F153" s="538" t="s">
        <v>849</v>
      </c>
    </row>
    <row r="154" spans="1:6" s="537" customFormat="1" x14ac:dyDescent="0.25">
      <c r="A154" s="542" t="str">
        <f t="shared" si="4"/>
        <v>03-C-127</v>
      </c>
      <c r="B154" s="787"/>
      <c r="F154" s="537" t="s">
        <v>533</v>
      </c>
    </row>
    <row r="155" spans="1:6" s="538" customFormat="1" x14ac:dyDescent="0.25">
      <c r="A155" s="549" t="str">
        <f t="shared" si="4"/>
        <v>03-C-128</v>
      </c>
      <c r="B155" s="788" t="str">
        <f ca="1">IF(C1=1,"",TRIM(INDIRECT(CHAR(64+$C$2)&amp;ROW())))</f>
        <v/>
      </c>
      <c r="C155" s="538" t="s">
        <v>850</v>
      </c>
      <c r="D155" s="538" t="s">
        <v>851</v>
      </c>
      <c r="E155" s="538" t="s">
        <v>852</v>
      </c>
      <c r="F155" s="538" t="s">
        <v>853</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854</v>
      </c>
      <c r="D159" s="563" t="s">
        <v>855</v>
      </c>
      <c r="E159" s="563" t="s">
        <v>856</v>
      </c>
      <c r="F159" s="563" t="s">
        <v>110</v>
      </c>
    </row>
    <row r="160" spans="1:6" s="537" customFormat="1" x14ac:dyDescent="0.25">
      <c r="A160" s="550" t="str">
        <f t="shared" si="4"/>
        <v>03-C-133</v>
      </c>
      <c r="B160" s="787" t="str">
        <f t="shared" ca="1" si="11"/>
        <v>Om deel te nemen aan deze pool bent u verplicht de vastgestelde inleg te betalen. De vastgestelde inleg</v>
      </c>
      <c r="C160" s="537" t="s">
        <v>857</v>
      </c>
      <c r="D160" s="537" t="s">
        <v>858</v>
      </c>
      <c r="E160" s="537" t="s">
        <v>859</v>
      </c>
      <c r="F160" s="537" t="s">
        <v>860</v>
      </c>
    </row>
    <row r="161" spans="1:6" s="538" customFormat="1" x14ac:dyDescent="0.25">
      <c r="A161" s="549" t="str">
        <f t="shared" si="4"/>
        <v>03-C-134</v>
      </c>
      <c r="B161" s="788" t="str">
        <f t="shared" ca="1" si="11"/>
        <v>voor deze pool is ###.</v>
      </c>
      <c r="C161" s="538" t="s">
        <v>861</v>
      </c>
      <c r="D161" s="538" t="s">
        <v>862</v>
      </c>
      <c r="E161" s="538" t="s">
        <v>863</v>
      </c>
      <c r="F161" s="538" t="s">
        <v>864</v>
      </c>
    </row>
    <row r="162" spans="1:6" s="537" customFormat="1" x14ac:dyDescent="0.25">
      <c r="A162" s="550" t="str">
        <f t="shared" si="4"/>
        <v>03-C-135</v>
      </c>
      <c r="B162" s="787" t="str">
        <f t="shared" ca="1" si="11"/>
        <v>De inleg voor deelname aan deze pool is ###. U kunt er ook voor kiezen om zonder inleg deel te nemen</v>
      </c>
      <c r="C162" s="537" t="s">
        <v>865</v>
      </c>
      <c r="D162" s="537" t="s">
        <v>866</v>
      </c>
      <c r="E162" s="537" t="s">
        <v>867</v>
      </c>
      <c r="F162" s="537" t="s">
        <v>868</v>
      </c>
    </row>
    <row r="163" spans="1:6" s="538" customFormat="1" x14ac:dyDescent="0.25">
      <c r="A163" s="549" t="str">
        <f t="shared" si="4"/>
        <v>03-C-136</v>
      </c>
      <c r="B163" s="788" t="str">
        <f t="shared" ca="1" si="11"/>
        <v>aan deze pool. U kunt dan ook geen aanspraak maken op de prijzenpot aan het einde van het toernooi¹.</v>
      </c>
      <c r="C163" s="538" t="s">
        <v>869</v>
      </c>
      <c r="D163" s="538" t="s">
        <v>870</v>
      </c>
      <c r="E163" s="538" t="s">
        <v>871</v>
      </c>
      <c r="F163" s="538" t="s">
        <v>872</v>
      </c>
    </row>
    <row r="164" spans="1:6" s="537" customFormat="1" x14ac:dyDescent="0.25">
      <c r="A164" s="550" t="str">
        <f t="shared" si="4"/>
        <v>03-C-137</v>
      </c>
      <c r="B164" s="787" t="str">
        <f t="shared" ca="1" si="11"/>
        <v>Deelname aan deze pool is kosteloos. Om aanspraak te maken op de prijzenpot is dan ook geen inleg</v>
      </c>
      <c r="C164" s="537" t="s">
        <v>873</v>
      </c>
      <c r="D164" s="537" t="s">
        <v>874</v>
      </c>
      <c r="E164" s="537" t="s">
        <v>875</v>
      </c>
      <c r="F164" s="537" t="s">
        <v>876</v>
      </c>
    </row>
    <row r="165" spans="1:6" s="538" customFormat="1" x14ac:dyDescent="0.25">
      <c r="A165" s="549" t="str">
        <f t="shared" si="4"/>
        <v>03-C-138</v>
      </c>
      <c r="B165" s="788" t="str">
        <f t="shared" ca="1" si="11"/>
        <v>noodzakelijk.</v>
      </c>
      <c r="C165" s="538" t="s">
        <v>877</v>
      </c>
      <c r="D165" s="538" t="s">
        <v>878</v>
      </c>
      <c r="E165" s="538" t="s">
        <v>879</v>
      </c>
      <c r="F165" s="538" t="s">
        <v>880</v>
      </c>
    </row>
    <row r="166" spans="1:6" s="537" customFormat="1" x14ac:dyDescent="0.25">
      <c r="A166" s="550" t="str">
        <f t="shared" si="4"/>
        <v>03-C-139</v>
      </c>
      <c r="B166" s="787" t="str">
        <f t="shared" ca="1" si="11"/>
        <v>De inleg dient voor aanvang van het toernooi betaald te worden aan de organisator.</v>
      </c>
      <c r="C166" s="537" t="s">
        <v>881</v>
      </c>
      <c r="D166" s="537" t="s">
        <v>882</v>
      </c>
      <c r="E166" s="537" t="s">
        <v>883</v>
      </c>
      <c r="F166" s="537" t="s">
        <v>884</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885</v>
      </c>
      <c r="D167" s="538" t="s">
        <v>886</v>
      </c>
      <c r="E167" s="538" t="s">
        <v>887</v>
      </c>
      <c r="F167" s="538" t="s">
        <v>888</v>
      </c>
    </row>
    <row r="168" spans="1:6" s="537" customFormat="1" x14ac:dyDescent="0.25">
      <c r="A168" s="550" t="str">
        <f t="shared" si="12"/>
        <v>03-C-141</v>
      </c>
      <c r="B168" s="787" t="str">
        <f t="shared" ca="1" si="11"/>
        <v>De eventuele inleg dient voor aanvang van het toernooi betaald te worden aan de organisator.</v>
      </c>
      <c r="C168" s="537" t="s">
        <v>889</v>
      </c>
      <c r="D168" s="537" t="s">
        <v>890</v>
      </c>
      <c r="E168" s="537" t="s">
        <v>891</v>
      </c>
      <c r="F168" s="537" t="s">
        <v>892</v>
      </c>
    </row>
    <row r="169" spans="1:6" s="538" customFormat="1" x14ac:dyDescent="0.25">
      <c r="A169" s="549" t="str">
        <f t="shared" si="12"/>
        <v>03-C-142</v>
      </c>
      <c r="B169" s="788" t="str">
        <f t="shared" ca="1" si="11"/>
        <v>Is dit niet op tijd gedaan dan zal u ook niet deelnemen in de prijzenpot.</v>
      </c>
      <c r="C169" s="538" t="s">
        <v>893</v>
      </c>
      <c r="D169" s="538" t="s">
        <v>894</v>
      </c>
      <c r="E169" s="538" t="s">
        <v>895</v>
      </c>
      <c r="F169" s="538" t="s">
        <v>896</v>
      </c>
    </row>
    <row r="170" spans="1:6" s="537" customFormat="1" x14ac:dyDescent="0.25">
      <c r="A170" s="550" t="str">
        <f t="shared" si="12"/>
        <v>03-C-143</v>
      </c>
      <c r="B170" s="787" t="str">
        <f t="shared" ca="1" si="11"/>
        <v>De inleg dient met door middel van een contante betaling te voldoen.</v>
      </c>
      <c r="C170" s="537" t="s">
        <v>897</v>
      </c>
      <c r="D170" s="537" t="s">
        <v>898</v>
      </c>
      <c r="E170" s="537" t="s">
        <v>899</v>
      </c>
      <c r="F170" s="537" t="s">
        <v>900</v>
      </c>
    </row>
    <row r="171" spans="1:6" s="538" customFormat="1" x14ac:dyDescent="0.25">
      <c r="A171" s="549" t="str">
        <f t="shared" si="12"/>
        <v>03-C-144</v>
      </c>
      <c r="B171" s="788" t="str">
        <f t="shared" ca="1" si="11"/>
        <v>De inleg dient door middel van een bankoverschrijving overgemaakt worden.</v>
      </c>
      <c r="C171" s="538" t="s">
        <v>901</v>
      </c>
      <c r="D171" s="538" t="s">
        <v>902</v>
      </c>
      <c r="E171" s="538" t="s">
        <v>903</v>
      </c>
      <c r="F171" s="538" t="s">
        <v>904</v>
      </c>
    </row>
    <row r="172" spans="1:6" s="537" customFormat="1" x14ac:dyDescent="0.25">
      <c r="A172" s="550" t="str">
        <f t="shared" si="12"/>
        <v>03-C-145</v>
      </c>
      <c r="B172" s="787" t="str">
        <f t="shared" ca="1" si="11"/>
        <v>De inleg dient contant betaald te worden of door middel van een bankoverschrijving overgemaakt te worden.</v>
      </c>
      <c r="C172" s="537" t="s">
        <v>905</v>
      </c>
      <c r="D172" s="537" t="s">
        <v>906</v>
      </c>
      <c r="E172" s="537" t="s">
        <v>907</v>
      </c>
      <c r="F172" s="537" t="s">
        <v>908</v>
      </c>
    </row>
    <row r="173" spans="1:6" s="538" customFormat="1" x14ac:dyDescent="0.25">
      <c r="A173" s="549" t="str">
        <f t="shared" si="12"/>
        <v>03-C-146</v>
      </c>
      <c r="B173" s="788" t="str">
        <f t="shared" ca="1" si="11"/>
        <v>De inleg dient betaald te worden via een betaalverzoek welke de organisator u zal toesturen.</v>
      </c>
      <c r="C173" s="538" t="s">
        <v>909</v>
      </c>
      <c r="D173" s="538" t="s">
        <v>910</v>
      </c>
      <c r="E173" s="538" t="s">
        <v>911</v>
      </c>
      <c r="F173" s="538" t="s">
        <v>912</v>
      </c>
    </row>
    <row r="174" spans="1:6" s="537" customFormat="1" x14ac:dyDescent="0.25">
      <c r="A174" s="550" t="str">
        <f t="shared" si="12"/>
        <v>03-C-147</v>
      </c>
      <c r="B174" s="787" t="str">
        <f t="shared" ca="1" si="11"/>
        <v>De inleg dient contant betaald te worden of via een betaalverzoek welke de organisator u zal toesturen.</v>
      </c>
      <c r="C174" s="537" t="s">
        <v>913</v>
      </c>
      <c r="D174" s="537" t="s">
        <v>914</v>
      </c>
      <c r="E174" s="537" t="s">
        <v>915</v>
      </c>
      <c r="F174" s="537" t="s">
        <v>916</v>
      </c>
    </row>
    <row r="175" spans="1:6" s="538" customFormat="1" x14ac:dyDescent="0.25">
      <c r="A175" s="549" t="str">
        <f t="shared" si="12"/>
        <v>03-C-148</v>
      </c>
      <c r="B175" s="788" t="str">
        <f t="shared" ca="1" si="11"/>
        <v>rekeningnummer</v>
      </c>
      <c r="C175" s="538" t="s">
        <v>917</v>
      </c>
      <c r="D175" s="538" t="s">
        <v>918</v>
      </c>
      <c r="E175" s="538" t="s">
        <v>919</v>
      </c>
      <c r="F175" s="538" t="s">
        <v>920</v>
      </c>
    </row>
    <row r="176" spans="1:6" s="537" customFormat="1" x14ac:dyDescent="0.25">
      <c r="A176" s="550" t="str">
        <f t="shared" si="12"/>
        <v>03-C-149</v>
      </c>
      <c r="B176" s="787" t="str">
        <f t="shared" ca="1" si="11"/>
        <v>ter name van</v>
      </c>
      <c r="C176" s="537" t="s">
        <v>921</v>
      </c>
      <c r="D176" s="537" t="s">
        <v>922</v>
      </c>
      <c r="E176" s="537" t="s">
        <v>923</v>
      </c>
      <c r="F176" s="537" t="s">
        <v>924</v>
      </c>
    </row>
    <row r="177" spans="1:6" s="538" customFormat="1" x14ac:dyDescent="0.25">
      <c r="A177" s="549" t="str">
        <f t="shared" si="12"/>
        <v>03-C-150</v>
      </c>
      <c r="B177" s="788" t="str">
        <f t="shared" ca="1" si="11"/>
        <v>onder vermelding van</v>
      </c>
      <c r="C177" s="538" t="s">
        <v>925</v>
      </c>
      <c r="D177" s="538" t="s">
        <v>926</v>
      </c>
      <c r="E177" s="538" t="s">
        <v>927</v>
      </c>
      <c r="F177" s="538" t="s">
        <v>928</v>
      </c>
    </row>
    <row r="178" spans="1:6" s="537" customFormat="1" x14ac:dyDescent="0.25">
      <c r="A178" s="550" t="str">
        <f t="shared" si="12"/>
        <v>03-C-151</v>
      </c>
      <c r="B178" s="787" t="str">
        <f t="shared" ca="1" si="11"/>
        <v>Van de inleg komt ### ten goede aan het goede doel ($$$).</v>
      </c>
      <c r="C178" s="537" t="s">
        <v>929</v>
      </c>
      <c r="D178" s="537" t="s">
        <v>930</v>
      </c>
      <c r="E178" s="537" t="s">
        <v>931</v>
      </c>
      <c r="F178" s="537" t="s">
        <v>932</v>
      </c>
    </row>
    <row r="179" spans="1:6" s="538" customFormat="1" x14ac:dyDescent="0.25">
      <c r="A179" s="549" t="str">
        <f t="shared" si="12"/>
        <v>03-C-152</v>
      </c>
      <c r="B179" s="788" t="str">
        <f t="shared" ca="1" si="11"/>
        <v>Van de inleg gaat ### naar de prijzenpot. Het restant komt ten goede aan de organisatie van de pool.</v>
      </c>
      <c r="C179" s="538" t="s">
        <v>933</v>
      </c>
      <c r="D179" s="538" t="s">
        <v>934</v>
      </c>
      <c r="E179" s="538" t="s">
        <v>935</v>
      </c>
      <c r="F179" s="538" t="s">
        <v>936</v>
      </c>
    </row>
    <row r="180" spans="1:6" s="537" customFormat="1" x14ac:dyDescent="0.25">
      <c r="A180" s="550" t="str">
        <f t="shared" si="12"/>
        <v>03-C-153</v>
      </c>
      <c r="B180" s="787" t="str">
        <f t="shared" ca="1" si="11"/>
        <v>Voor iedere deelnemer zal de organisatie van de pool ### extra inleggen in de prijzenpot.</v>
      </c>
      <c r="C180" s="537" t="s">
        <v>937</v>
      </c>
      <c r="D180" s="537" t="s">
        <v>938</v>
      </c>
      <c r="E180" s="537" t="s">
        <v>939</v>
      </c>
      <c r="F180" s="537" t="s">
        <v>940</v>
      </c>
    </row>
    <row r="181" spans="1:6" s="538" customFormat="1" x14ac:dyDescent="0.25">
      <c r="A181" s="549" t="str">
        <f t="shared" si="12"/>
        <v>03-C-154</v>
      </c>
      <c r="B181" s="788" t="str">
        <f t="shared" ca="1" si="11"/>
        <v/>
      </c>
      <c r="F181" s="538" t="s">
        <v>533</v>
      </c>
    </row>
    <row r="182" spans="1:6" s="537" customFormat="1" x14ac:dyDescent="0.25">
      <c r="A182" s="550" t="str">
        <f t="shared" si="12"/>
        <v>03-C-155</v>
      </c>
      <c r="B182" s="787" t="str">
        <f t="shared" ca="1" si="11"/>
        <v>Indien meerdere spelers op dezelfde positie staan en recht hebben op prijzengeld zal de totale som</v>
      </c>
      <c r="C182" s="537" t="s">
        <v>941</v>
      </c>
      <c r="D182" s="537" t="s">
        <v>942</v>
      </c>
      <c r="E182" s="537" t="s">
        <v>943</v>
      </c>
      <c r="F182" s="537" t="s">
        <v>944</v>
      </c>
    </row>
    <row r="183" spans="1:6" s="538" customFormat="1" x14ac:dyDescent="0.25">
      <c r="A183" s="549" t="str">
        <f t="shared" si="12"/>
        <v>03-C-156</v>
      </c>
      <c r="B183" s="788" t="str">
        <f t="shared" ca="1" si="11"/>
        <v>van het prijzengeld voor de gedeelde plekken verdeeld worden onder de rechthebbenden.</v>
      </c>
      <c r="C183" s="538" t="s">
        <v>945</v>
      </c>
      <c r="D183" s="538" t="s">
        <v>946</v>
      </c>
      <c r="E183" s="538" t="s">
        <v>947</v>
      </c>
      <c r="F183" s="538" t="s">
        <v>948</v>
      </c>
    </row>
    <row r="184" spans="1:6" s="537" customFormat="1" x14ac:dyDescent="0.25">
      <c r="A184" s="550" t="str">
        <f t="shared" si="12"/>
        <v>03-C-157</v>
      </c>
      <c r="B184" s="787" t="str">
        <f t="shared" ca="1" si="11"/>
        <v>De verdeling van het prijzengeld gebeurt als volgt:</v>
      </c>
      <c r="C184" s="537" t="s">
        <v>949</v>
      </c>
      <c r="D184" s="537" t="s">
        <v>950</v>
      </c>
      <c r="E184" s="537" t="s">
        <v>951</v>
      </c>
      <c r="F184" s="537" t="s">
        <v>952</v>
      </c>
    </row>
    <row r="185" spans="1:6" s="538" customFormat="1" x14ac:dyDescent="0.25">
      <c r="A185" s="549" t="str">
        <f t="shared" si="12"/>
        <v>03-C-158</v>
      </c>
      <c r="B185" s="788" t="str">
        <f t="shared" ca="1" si="11"/>
        <v>Nr.</v>
      </c>
      <c r="C185" s="538" t="s">
        <v>953</v>
      </c>
      <c r="D185" s="538" t="s">
        <v>954</v>
      </c>
      <c r="E185" s="538" t="s">
        <v>953</v>
      </c>
      <c r="F185" s="538" t="s">
        <v>953</v>
      </c>
    </row>
    <row r="186" spans="1:6" s="537" customFormat="1" x14ac:dyDescent="0.25">
      <c r="A186" s="550" t="str">
        <f t="shared" si="12"/>
        <v>03-C-159</v>
      </c>
      <c r="B186" s="787" t="str">
        <f t="shared" ca="1" si="11"/>
        <v>van de prijzenpot</v>
      </c>
      <c r="C186" s="537" t="s">
        <v>955</v>
      </c>
      <c r="D186" s="537" t="s">
        <v>956</v>
      </c>
      <c r="E186" s="537" t="s">
        <v>957</v>
      </c>
      <c r="F186" s="537" t="s">
        <v>958</v>
      </c>
    </row>
    <row r="187" spans="1:6" s="538" customFormat="1" x14ac:dyDescent="0.25">
      <c r="A187" s="549" t="str">
        <f t="shared" si="12"/>
        <v>03-C-160</v>
      </c>
      <c r="B187" s="788" t="str">
        <f t="shared" ca="1" si="11"/>
        <v>Tevens zijn er diverse troostprijzen beschikbaar voor degene die net naast de prijzen grijpen.</v>
      </c>
      <c r="C187" s="538" t="s">
        <v>959</v>
      </c>
      <c r="D187" s="538" t="s">
        <v>960</v>
      </c>
      <c r="E187" s="538" t="s">
        <v>961</v>
      </c>
      <c r="F187" s="538" t="s">
        <v>962</v>
      </c>
    </row>
    <row r="188" spans="1:6" s="537" customFormat="1" x14ac:dyDescent="0.25">
      <c r="A188" s="550" t="str">
        <f t="shared" si="12"/>
        <v>03-C-161</v>
      </c>
      <c r="B188" s="787" t="str">
        <f t="shared" ca="1" si="11"/>
        <v>Tevens is er voor de nr. ### een troostprijs beschikbaar als troost voor het net naast de prijzen grijpen.</v>
      </c>
      <c r="C188" s="537" t="s">
        <v>963</v>
      </c>
      <c r="D188" s="537" t="s">
        <v>964</v>
      </c>
      <c r="E188" s="537" t="s">
        <v>965</v>
      </c>
      <c r="F188" s="537" t="s">
        <v>966</v>
      </c>
    </row>
    <row r="189" spans="1:6" s="538" customFormat="1" x14ac:dyDescent="0.25">
      <c r="A189" s="549" t="str">
        <f t="shared" si="12"/>
        <v>03-C-162</v>
      </c>
      <c r="B189" s="788" t="str">
        <f t="shared" ca="1" si="11"/>
        <v>Tevens zijn er voor de nr. ### en $$$ troostprijzen beschikbaar voor degene die net naast de prijzen grijpen.</v>
      </c>
      <c r="C189" s="538" t="s">
        <v>967</v>
      </c>
      <c r="D189" s="538" t="s">
        <v>968</v>
      </c>
      <c r="E189" s="538" t="s">
        <v>969</v>
      </c>
      <c r="F189" s="538" t="s">
        <v>970</v>
      </c>
    </row>
    <row r="190" spans="1:6" s="537" customFormat="1" x14ac:dyDescent="0.25">
      <c r="A190" s="550" t="str">
        <f t="shared" si="12"/>
        <v>03-C-163</v>
      </c>
      <c r="B190" s="787" t="str">
        <f t="shared" ca="1" si="11"/>
        <v>Tevens zijn er voor de nr. ### t/m $$$ troostprijzen beschikbaar voor degene die net naast de prijzen grijpen.</v>
      </c>
      <c r="C190" s="537" t="s">
        <v>971</v>
      </c>
      <c r="D190" s="537" t="s">
        <v>972</v>
      </c>
      <c r="E190" s="537" t="s">
        <v>973</v>
      </c>
      <c r="F190" s="537" t="s">
        <v>974</v>
      </c>
    </row>
    <row r="191" spans="1:6" s="538" customFormat="1" x14ac:dyDescent="0.25">
      <c r="A191" s="549" t="str">
        <f t="shared" si="12"/>
        <v>03-C-164</v>
      </c>
      <c r="B191" s="788" t="str">
        <f t="shared" ca="1" si="11"/>
        <v>Daarnaast zijn er diverse poedelprijzen beschikbaar voor degenen die onderaan eindigen.</v>
      </c>
      <c r="C191" s="538" t="s">
        <v>975</v>
      </c>
      <c r="D191" s="538" t="s">
        <v>976</v>
      </c>
      <c r="E191" s="538" t="s">
        <v>977</v>
      </c>
      <c r="F191" s="538" t="s">
        <v>978</v>
      </c>
    </row>
    <row r="192" spans="1:6" s="537" customFormat="1" x14ac:dyDescent="0.25">
      <c r="A192" s="550" t="str">
        <f t="shared" si="12"/>
        <v>03-C-165</v>
      </c>
      <c r="B192" s="787" t="str">
        <f t="shared" ca="1" si="11"/>
        <v>Daarnaast ontvangt de laagst genoteerde deelnemer na afloop een poedelprijs.</v>
      </c>
      <c r="C192" s="537" t="s">
        <v>979</v>
      </c>
      <c r="D192" s="537" t="s">
        <v>980</v>
      </c>
      <c r="E192" s="537" t="s">
        <v>981</v>
      </c>
      <c r="F192" s="537" t="s">
        <v>982</v>
      </c>
    </row>
    <row r="193" spans="1:6" s="538" customFormat="1" x14ac:dyDescent="0.25">
      <c r="A193" s="549" t="str">
        <f t="shared" si="12"/>
        <v>03-C-166</v>
      </c>
      <c r="B193" s="788" t="str">
        <f t="shared" ca="1" si="11"/>
        <v>Daarnaast ontvangen de ### laagst genoteerde deelnemers na afloop ieder een poedelprijs.</v>
      </c>
      <c r="C193" s="538" t="s">
        <v>983</v>
      </c>
      <c r="D193" s="538" t="s">
        <v>984</v>
      </c>
      <c r="E193" s="538" t="s">
        <v>985</v>
      </c>
      <c r="F193" s="538" t="s">
        <v>986</v>
      </c>
    </row>
    <row r="194" spans="1:6" s="537" customFormat="1" x14ac:dyDescent="0.25">
      <c r="A194" s="550" t="str">
        <f t="shared" si="12"/>
        <v>03-C-167</v>
      </c>
      <c r="B194" s="787" t="str">
        <f t="shared" ca="1" si="11"/>
        <v>Wanneer een niet betalende deelnemer in aanmerkingen komt voor de prijzenpot zal de prijs worden</v>
      </c>
      <c r="C194" s="537" t="s">
        <v>987</v>
      </c>
      <c r="D194" s="537" t="s">
        <v>988</v>
      </c>
      <c r="E194" s="537" t="s">
        <v>989</v>
      </c>
      <c r="F194" s="537" t="s">
        <v>990</v>
      </c>
    </row>
    <row r="195" spans="1:6" s="538" customFormat="1" x14ac:dyDescent="0.25">
      <c r="A195" s="549" t="str">
        <f t="shared" si="12"/>
        <v>03-C-168</v>
      </c>
      <c r="B195" s="788" t="str">
        <f t="shared" ca="1" si="11"/>
        <v>doorgeschoven naar de eerst volgende betalende deelnemer op de ranglijst.</v>
      </c>
      <c r="C195" s="538" t="s">
        <v>991</v>
      </c>
      <c r="D195" s="538" t="s">
        <v>992</v>
      </c>
      <c r="E195" s="538" t="s">
        <v>993</v>
      </c>
      <c r="F195" s="538" t="s">
        <v>994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0</v>
      </c>
      <c r="C1" s="557">
        <f>Taal01!$C$1</f>
        <v>1</v>
      </c>
    </row>
    <row r="2" spans="1:6" s="555" customFormat="1" x14ac:dyDescent="0.25">
      <c r="A2" s="556" t="s">
        <v>1</v>
      </c>
      <c r="C2" s="557">
        <f>$C$1+2</f>
        <v>3</v>
      </c>
    </row>
    <row r="3" spans="1:6" s="559" customFormat="1" x14ac:dyDescent="0.25">
      <c r="A3" s="558" t="s">
        <v>2</v>
      </c>
      <c r="B3" s="781" t="s">
        <v>3</v>
      </c>
      <c r="C3" s="559" t="s">
        <v>4</v>
      </c>
      <c r="D3" s="559" t="s">
        <v>5</v>
      </c>
      <c r="E3" s="559" t="s">
        <v>6</v>
      </c>
      <c r="F3" s="559" t="s">
        <v>7</v>
      </c>
    </row>
    <row r="4" spans="1:6" s="537" customFormat="1" x14ac:dyDescent="0.25">
      <c r="A4" s="560"/>
      <c r="B4" s="782"/>
    </row>
    <row r="5" spans="1:6" s="538" customFormat="1" x14ac:dyDescent="0.25">
      <c r="A5" s="561" t="s">
        <v>995</v>
      </c>
      <c r="B5" s="783"/>
    </row>
    <row r="6" spans="1:6" s="565" customFormat="1" x14ac:dyDescent="0.25">
      <c r="A6" s="564" t="str">
        <f>"04-D-001"</f>
        <v>04-D-001</v>
      </c>
      <c r="B6" s="784" t="str">
        <f t="shared" ref="B6:B12" ca="1" si="0">TRIM(INDIRECT(CHAR(64+$C$2)&amp;ROW()))</f>
        <v>Deelname Formulier</v>
      </c>
      <c r="C6" s="565" t="s">
        <v>996</v>
      </c>
      <c r="D6" s="565" t="s">
        <v>997</v>
      </c>
      <c r="E6" s="565" t="s">
        <v>998</v>
      </c>
      <c r="F6" s="565" t="s">
        <v>50</v>
      </c>
    </row>
    <row r="7" spans="1:6" s="563" customFormat="1" x14ac:dyDescent="0.25">
      <c r="A7" s="562" t="str">
        <f t="shared" ref="A7:A97" si="1">LEFT(A6,5)&amp;RIGHT("000"&amp;RIGHT(A6,3)*1+1,3)</f>
        <v>04-D-002</v>
      </c>
      <c r="B7" s="785" t="str">
        <f t="shared" ca="1" si="0"/>
        <v>Excel Deelname Formulier</v>
      </c>
      <c r="C7" s="563" t="s">
        <v>999</v>
      </c>
      <c r="D7" s="563" t="s">
        <v>1000</v>
      </c>
      <c r="E7" s="563" t="s">
        <v>1001</v>
      </c>
      <c r="F7" s="563" t="s">
        <v>1002</v>
      </c>
    </row>
    <row r="8" spans="1:6" s="565" customFormat="1" x14ac:dyDescent="0.25">
      <c r="A8" s="564" t="str">
        <f t="shared" si="1"/>
        <v>04-D-003</v>
      </c>
      <c r="B8" s="784" t="str">
        <f t="shared" ca="1" si="0"/>
        <v>Groepswedstrijden</v>
      </c>
      <c r="C8" s="565" t="s">
        <v>111</v>
      </c>
      <c r="D8" s="565" t="s">
        <v>1003</v>
      </c>
      <c r="E8" s="565" t="s">
        <v>1004</v>
      </c>
      <c r="F8" s="565" t="s">
        <v>1005</v>
      </c>
    </row>
    <row r="9" spans="1:6" s="563" customFormat="1" x14ac:dyDescent="0.25">
      <c r="A9" s="562" t="str">
        <f t="shared" si="1"/>
        <v>04-D-004</v>
      </c>
      <c r="B9" s="785" t="str">
        <f t="shared" ca="1" si="0"/>
        <v>Eindstand Groep</v>
      </c>
      <c r="C9" s="563" t="s">
        <v>115</v>
      </c>
      <c r="D9" s="563" t="s">
        <v>1006</v>
      </c>
      <c r="E9" s="563" t="s">
        <v>1007</v>
      </c>
      <c r="F9" s="563" t="s">
        <v>1008</v>
      </c>
    </row>
    <row r="10" spans="1:6" s="565" customFormat="1" x14ac:dyDescent="0.25">
      <c r="A10" s="564" t="str">
        <f t="shared" si="1"/>
        <v>04-D-005</v>
      </c>
      <c r="B10" s="784" t="str">
        <f t="shared" ca="1" si="0"/>
        <v>Finalewedstrijden</v>
      </c>
      <c r="C10" s="565" t="s">
        <v>119</v>
      </c>
      <c r="D10" s="565" t="s">
        <v>1009</v>
      </c>
      <c r="E10" s="565" t="s">
        <v>1010</v>
      </c>
      <c r="F10" s="565" t="s">
        <v>122</v>
      </c>
    </row>
    <row r="11" spans="1:6" s="546" customFormat="1" x14ac:dyDescent="0.25">
      <c r="A11" s="545" t="str">
        <f t="shared" si="1"/>
        <v>04-D-006</v>
      </c>
      <c r="B11" s="786" t="str">
        <f t="shared" ca="1" si="0"/>
        <v>Bonusvragen</v>
      </c>
      <c r="C11" s="546" t="s">
        <v>123</v>
      </c>
      <c r="D11" s="546" t="s">
        <v>124</v>
      </c>
      <c r="E11" s="546" t="s">
        <v>125</v>
      </c>
      <c r="F11" s="546" t="s">
        <v>1011</v>
      </c>
    </row>
    <row r="12" spans="1:6" s="565" customFormat="1" x14ac:dyDescent="0.25">
      <c r="A12" s="564" t="str">
        <f t="shared" si="1"/>
        <v>04-D-007</v>
      </c>
      <c r="B12" s="784" t="str">
        <f t="shared" ca="1" si="0"/>
        <v>Teams</v>
      </c>
      <c r="C12" s="565" t="s">
        <v>178</v>
      </c>
      <c r="D12" s="565" t="s">
        <v>178</v>
      </c>
      <c r="E12" s="565" t="s">
        <v>178</v>
      </c>
      <c r="F12" s="565" t="s">
        <v>1012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1013</v>
      </c>
      <c r="D14" s="532" t="s">
        <v>1014</v>
      </c>
      <c r="E14" s="532" t="s">
        <v>1014</v>
      </c>
      <c r="F14" s="532" t="s">
        <v>1015</v>
      </c>
    </row>
    <row r="15" spans="1:6" s="541" customFormat="1" x14ac:dyDescent="0.25">
      <c r="A15" s="549" t="str">
        <f t="shared" si="1"/>
        <v>04-D-010</v>
      </c>
      <c r="B15" s="788" t="str">
        <f ca="1">TRIM(INDIRECT(CHAR(64+$C$2)&amp;ROW()))</f>
        <v>E-mail</v>
      </c>
      <c r="C15" s="538" t="s">
        <v>1016</v>
      </c>
      <c r="D15" s="538" t="s">
        <v>1016</v>
      </c>
      <c r="E15" s="541" t="s">
        <v>1017</v>
      </c>
      <c r="F15" s="538" t="s">
        <v>1018</v>
      </c>
    </row>
    <row r="16" spans="1:6" s="532" customFormat="1" x14ac:dyDescent="0.25">
      <c r="A16" s="535" t="str">
        <f t="shared" si="1"/>
        <v>04-D-011</v>
      </c>
      <c r="B16" s="789" t="str">
        <f ca="1">TRIM(INDIRECT(CHAR(64+$C$2)&amp;ROW()))</f>
        <v>(maximaal ## tekens)</v>
      </c>
      <c r="C16" s="532" t="s">
        <v>1019</v>
      </c>
      <c r="D16" s="532" t="s">
        <v>1020</v>
      </c>
      <c r="E16" s="532" t="s">
        <v>1021</v>
      </c>
      <c r="F16" s="532" t="s">
        <v>1022</v>
      </c>
    </row>
    <row r="17" spans="1:6" s="538" customFormat="1" x14ac:dyDescent="0.25">
      <c r="A17" s="549" t="str">
        <f t="shared" si="1"/>
        <v>04-D-012</v>
      </c>
      <c r="B17" s="788" t="str">
        <f ca="1">TRIM(INDIRECT(CHAR(64+$C$2)&amp;ROW()))</f>
        <v>e-mailadres is niet verplicht</v>
      </c>
      <c r="C17" s="538" t="s">
        <v>1023</v>
      </c>
      <c r="D17" s="538" t="s">
        <v>1024</v>
      </c>
      <c r="E17" s="538" t="s">
        <v>1025</v>
      </c>
      <c r="F17" s="538" t="s">
        <v>1026</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1027</v>
      </c>
      <c r="D20" s="537" t="s">
        <v>1028</v>
      </c>
      <c r="E20" s="537" t="s">
        <v>1027</v>
      </c>
      <c r="F20" s="537" t="s">
        <v>1027</v>
      </c>
    </row>
    <row r="21" spans="1:6" s="538" customFormat="1" x14ac:dyDescent="0.25">
      <c r="A21" s="549" t="str">
        <f t="shared" si="1"/>
        <v>04-D-016</v>
      </c>
      <c r="B21" s="788" t="str">
        <f t="shared" ca="1" si="2"/>
        <v>Tijd</v>
      </c>
      <c r="C21" s="538" t="s">
        <v>1029</v>
      </c>
      <c r="D21" s="538" t="s">
        <v>1030</v>
      </c>
      <c r="E21" s="538" t="s">
        <v>1031</v>
      </c>
      <c r="F21" s="538" t="s">
        <v>1032</v>
      </c>
    </row>
    <row r="22" spans="1:6" s="537" customFormat="1" x14ac:dyDescent="0.25">
      <c r="A22" s="550" t="str">
        <f t="shared" si="1"/>
        <v>04-D-017</v>
      </c>
      <c r="B22" s="789" t="str">
        <f t="shared" ca="1" si="2"/>
        <v>Wedstrijd</v>
      </c>
      <c r="C22" s="537" t="s">
        <v>1033</v>
      </c>
      <c r="D22" s="537" t="s">
        <v>1034</v>
      </c>
      <c r="E22" s="537" t="s">
        <v>1035</v>
      </c>
      <c r="F22" s="537" t="s">
        <v>1034</v>
      </c>
    </row>
    <row r="23" spans="1:6" s="538" customFormat="1" x14ac:dyDescent="0.25">
      <c r="A23" s="549" t="str">
        <f t="shared" si="1"/>
        <v>04-D-018</v>
      </c>
      <c r="B23" s="788" t="str">
        <f t="shared" ca="1" si="2"/>
        <v>TOTO</v>
      </c>
      <c r="C23" s="538" t="s">
        <v>1036</v>
      </c>
      <c r="D23" s="538" t="s">
        <v>1036</v>
      </c>
      <c r="E23" s="538" t="s">
        <v>1036</v>
      </c>
      <c r="F23" s="538" t="s">
        <v>705</v>
      </c>
    </row>
    <row r="24" spans="1:6" s="537" customFormat="1" x14ac:dyDescent="0.25">
      <c r="A24" s="550" t="str">
        <f t="shared" si="1"/>
        <v>04-D-019</v>
      </c>
      <c r="B24" s="789" t="str">
        <f t="shared" ca="1" si="2"/>
        <v>Eindstand</v>
      </c>
      <c r="C24" s="537" t="s">
        <v>1037</v>
      </c>
      <c r="D24" s="537" t="s">
        <v>1038</v>
      </c>
      <c r="E24" s="537" t="s">
        <v>1039</v>
      </c>
      <c r="F24" s="537" t="s">
        <v>1040</v>
      </c>
    </row>
    <row r="25" spans="1:6" s="538" customFormat="1" x14ac:dyDescent="0.25">
      <c r="A25" s="549" t="str">
        <f t="shared" si="1"/>
        <v>04-D-020</v>
      </c>
      <c r="B25" s="788" t="str">
        <f t="shared" ca="1" si="2"/>
        <v>Alle tijden zijn Midden-Europese Tijd (UCT+1)</v>
      </c>
      <c r="C25" s="538" t="s">
        <v>1041</v>
      </c>
      <c r="D25" s="538" t="s">
        <v>1042</v>
      </c>
      <c r="E25" s="538" t="s">
        <v>1043</v>
      </c>
      <c r="F25" s="538" t="s">
        <v>1044</v>
      </c>
    </row>
    <row r="26" spans="1:6" s="537" customFormat="1" x14ac:dyDescent="0.25">
      <c r="A26" s="550" t="str">
        <f t="shared" si="1"/>
        <v>04-D-021</v>
      </c>
      <c r="B26" s="789" t="str">
        <f t="shared" ca="1" si="2"/>
        <v>Groep</v>
      </c>
      <c r="C26" s="537" t="s">
        <v>1045</v>
      </c>
      <c r="D26" s="537" t="s">
        <v>1046</v>
      </c>
      <c r="E26" s="537" t="s">
        <v>1047</v>
      </c>
      <c r="F26" s="537" t="s">
        <v>1048</v>
      </c>
    </row>
    <row r="27" spans="1:6" s="538" customFormat="1" x14ac:dyDescent="0.25">
      <c r="A27" s="549" t="str">
        <f t="shared" si="1"/>
        <v>04-D-022</v>
      </c>
      <c r="B27" s="788" t="str">
        <f t="shared" ca="1" si="2"/>
        <v>Achtste Finale</v>
      </c>
      <c r="C27" s="538" t="s">
        <v>1049</v>
      </c>
      <c r="D27" s="538" t="s">
        <v>1050</v>
      </c>
      <c r="E27" s="538" t="s">
        <v>1051</v>
      </c>
      <c r="F27" s="538" t="s">
        <v>1052</v>
      </c>
    </row>
    <row r="28" spans="1:6" s="537" customFormat="1" x14ac:dyDescent="0.25">
      <c r="A28" s="550" t="str">
        <f t="shared" si="1"/>
        <v>04-D-023</v>
      </c>
      <c r="B28" s="789" t="str">
        <f t="shared" ca="1" si="2"/>
        <v>Kwartfinale</v>
      </c>
      <c r="C28" s="537" t="s">
        <v>1053</v>
      </c>
      <c r="D28" s="537" t="s">
        <v>1054</v>
      </c>
      <c r="E28" s="537" t="s">
        <v>1055</v>
      </c>
      <c r="F28" s="537" t="s">
        <v>1056</v>
      </c>
    </row>
    <row r="29" spans="1:6" s="538" customFormat="1" x14ac:dyDescent="0.25">
      <c r="A29" s="549" t="str">
        <f t="shared" si="1"/>
        <v>04-D-024</v>
      </c>
      <c r="B29" s="788" t="str">
        <f t="shared" ca="1" si="2"/>
        <v>Halve finale</v>
      </c>
      <c r="C29" s="538" t="s">
        <v>1057</v>
      </c>
      <c r="D29" s="538" t="s">
        <v>1058</v>
      </c>
      <c r="E29" s="538" t="s">
        <v>1059</v>
      </c>
      <c r="F29" s="538" t="s">
        <v>1060</v>
      </c>
    </row>
    <row r="30" spans="1:6" s="537" customFormat="1" x14ac:dyDescent="0.25">
      <c r="A30" s="550" t="str">
        <f t="shared" si="1"/>
        <v>04-D-025</v>
      </c>
      <c r="B30" s="789" t="str">
        <f t="shared" ca="1" si="2"/>
        <v>Troostfinale</v>
      </c>
      <c r="C30" s="537" t="s">
        <v>1061</v>
      </c>
      <c r="D30" s="537" t="s">
        <v>1062</v>
      </c>
      <c r="E30" s="537" t="s">
        <v>1063</v>
      </c>
      <c r="F30" s="537" t="s">
        <v>1064</v>
      </c>
    </row>
    <row r="31" spans="1:6" s="538" customFormat="1" x14ac:dyDescent="0.25">
      <c r="A31" s="549" t="str">
        <f t="shared" si="1"/>
        <v>04-D-026</v>
      </c>
      <c r="B31" s="788" t="str">
        <f t="shared" ca="1" si="2"/>
        <v>Finale</v>
      </c>
      <c r="C31" s="538" t="s">
        <v>1065</v>
      </c>
      <c r="D31" s="538" t="s">
        <v>1066</v>
      </c>
      <c r="E31" s="538" t="s">
        <v>1065</v>
      </c>
      <c r="F31" s="538" t="s">
        <v>1066</v>
      </c>
    </row>
    <row r="32" spans="1:6" s="537" customFormat="1" x14ac:dyDescent="0.25">
      <c r="A32" s="550" t="str">
        <f t="shared" si="1"/>
        <v>04-D-027</v>
      </c>
      <c r="B32" s="789" t="str">
        <f t="shared" ca="1" si="2"/>
        <v>Europees kampioen</v>
      </c>
      <c r="C32" s="537" t="s">
        <v>1067</v>
      </c>
      <c r="D32" s="537" t="s">
        <v>1068</v>
      </c>
      <c r="E32" s="537" t="s">
        <v>1069</v>
      </c>
      <c r="F32" s="537" t="s">
        <v>1070</v>
      </c>
    </row>
    <row r="33" spans="1:6" s="538" customFormat="1" x14ac:dyDescent="0.25">
      <c r="A33" s="549" t="str">
        <f t="shared" si="1"/>
        <v>04-D-028</v>
      </c>
      <c r="B33" s="788" t="str">
        <f t="shared" ca="1" si="2"/>
        <v>1 winst voor de thuisploeg, 2 winst voor de uitploeg, 3 gelijkspel</v>
      </c>
      <c r="C33" s="538" t="s">
        <v>1071</v>
      </c>
      <c r="D33" s="538" t="s">
        <v>1072</v>
      </c>
      <c r="E33" s="538" t="s">
        <v>1073</v>
      </c>
      <c r="F33" s="538" t="s">
        <v>1074</v>
      </c>
    </row>
    <row r="34" spans="1:6" s="537" customFormat="1" x14ac:dyDescent="0.25">
      <c r="A34" s="550" t="str">
        <f t="shared" si="1"/>
        <v>04-D-029</v>
      </c>
      <c r="B34" s="789" t="str">
        <f t="shared" ca="1" si="2"/>
        <v>suggesties altijd weergeven</v>
      </c>
      <c r="C34" s="537" t="s">
        <v>1075</v>
      </c>
      <c r="D34" s="537" t="s">
        <v>1076</v>
      </c>
      <c r="E34" s="537" t="s">
        <v>1077</v>
      </c>
      <c r="F34" s="537" t="s">
        <v>1078</v>
      </c>
    </row>
    <row r="35" spans="1:6" s="538" customFormat="1" x14ac:dyDescent="0.25">
      <c r="A35" s="549" t="str">
        <f t="shared" si="1"/>
        <v>04-D-030</v>
      </c>
      <c r="B35" s="788" t="str">
        <f t="shared" ca="1" si="2"/>
        <v>suggesties verbergen na keuze</v>
      </c>
      <c r="C35" s="538" t="s">
        <v>1079</v>
      </c>
      <c r="D35" s="538" t="s">
        <v>1080</v>
      </c>
      <c r="E35" s="538" t="s">
        <v>1081</v>
      </c>
      <c r="F35" s="538" t="s">
        <v>1082</v>
      </c>
    </row>
    <row r="36" spans="1:6" s="537" customFormat="1" x14ac:dyDescent="0.25">
      <c r="A36" s="550" t="str">
        <f t="shared" si="1"/>
        <v>04-D-031</v>
      </c>
      <c r="B36" s="789" t="str">
        <f t="shared" ca="1" si="2"/>
        <v>suggesties niet weergeven</v>
      </c>
      <c r="C36" s="537" t="s">
        <v>1083</v>
      </c>
      <c r="D36" s="537" t="s">
        <v>1084</v>
      </c>
      <c r="E36" s="537" t="s">
        <v>1085</v>
      </c>
      <c r="F36" s="537" t="s">
        <v>1086</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1087</v>
      </c>
      <c r="D41" s="538" t="s">
        <v>1088</v>
      </c>
      <c r="E41" s="538" t="s">
        <v>1089</v>
      </c>
      <c r="F41" s="538" t="s">
        <v>1090</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507</v>
      </c>
      <c r="F42" s="855" t="s">
        <v>508</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511</v>
      </c>
      <c r="F43" s="856" t="s">
        <v>512</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1091</v>
      </c>
      <c r="D44" s="537" t="s">
        <v>1092</v>
      </c>
      <c r="E44" s="537" t="s">
        <v>1093</v>
      </c>
      <c r="F44" s="537" t="s">
        <v>1094</v>
      </c>
    </row>
    <row r="45" spans="1:6" s="538" customFormat="1" x14ac:dyDescent="0.25">
      <c r="A45" s="549" t="str">
        <f t="shared" si="1"/>
        <v>04-D-040</v>
      </c>
      <c r="B45" s="788" t="str">
        <f t="shared" ca="1" si="3"/>
        <v>Goed ingevuld</v>
      </c>
      <c r="C45" s="538" t="s">
        <v>1095</v>
      </c>
      <c r="D45" s="538" t="s">
        <v>1096</v>
      </c>
      <c r="E45" s="538" t="s">
        <v>1097</v>
      </c>
      <c r="F45" s="538" t="s">
        <v>1098</v>
      </c>
    </row>
    <row r="46" spans="1:6" s="537" customFormat="1" x14ac:dyDescent="0.25">
      <c r="A46" s="550" t="str">
        <f t="shared" si="1"/>
        <v>04-D-041</v>
      </c>
      <c r="B46" s="787" t="str">
        <f t="shared" ca="1" si="3"/>
        <v>Niet ingevuld</v>
      </c>
      <c r="C46" s="537" t="s">
        <v>1099</v>
      </c>
      <c r="D46" s="537" t="s">
        <v>1100</v>
      </c>
      <c r="E46" s="537" t="s">
        <v>1101</v>
      </c>
      <c r="F46" s="537" t="s">
        <v>1102</v>
      </c>
    </row>
    <row r="47" spans="1:6" s="538" customFormat="1" x14ac:dyDescent="0.25">
      <c r="A47" s="549" t="str">
        <f t="shared" si="1"/>
        <v>04-D-042</v>
      </c>
      <c r="B47" s="788" t="str">
        <f t="shared" ca="1" si="3"/>
        <v>Fout ingevuld</v>
      </c>
      <c r="C47" s="538" t="s">
        <v>1103</v>
      </c>
      <c r="D47" s="538" t="s">
        <v>1104</v>
      </c>
      <c r="E47" s="538" t="s">
        <v>1105</v>
      </c>
      <c r="F47" s="538" t="s">
        <v>1106</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1107</v>
      </c>
      <c r="D49" s="538" t="s">
        <v>1108</v>
      </c>
      <c r="E49" s="538" t="s">
        <v>1109</v>
      </c>
      <c r="F49" s="538" t="s">
        <v>1110</v>
      </c>
    </row>
    <row r="50" spans="1:6" s="537" customFormat="1" x14ac:dyDescent="0.25">
      <c r="A50" s="550" t="str">
        <f t="shared" si="1"/>
        <v>04-D-045</v>
      </c>
      <c r="B50" s="787" t="str">
        <f t="shared" ca="1" si="3"/>
        <v>Voorspel de uitslag van de groepswedstrijden en vul deze in op dit blad.</v>
      </c>
      <c r="C50" s="537" t="s">
        <v>1111</v>
      </c>
      <c r="D50" s="537" t="s">
        <v>1112</v>
      </c>
      <c r="E50" s="537" t="s">
        <v>1113</v>
      </c>
      <c r="F50" s="537" t="s">
        <v>1114</v>
      </c>
    </row>
    <row r="51" spans="1:6" s="538" customFormat="1" x14ac:dyDescent="0.25">
      <c r="A51" s="549" t="str">
        <f t="shared" si="1"/>
        <v>04-D-046</v>
      </c>
      <c r="B51" s="788" t="str">
        <f t="shared" ca="1" si="3"/>
        <v>Voorspel welk team de wedstrijd wint of een gelijkspel en vul dit in op dit blad.</v>
      </c>
      <c r="C51" s="538" t="s">
        <v>1115</v>
      </c>
      <c r="D51" s="538" t="s">
        <v>1116</v>
      </c>
      <c r="E51" s="538" t="s">
        <v>1117</v>
      </c>
      <c r="F51" s="538" t="s">
        <v>1118</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1119</v>
      </c>
      <c r="D53" s="538" t="s">
        <v>1120</v>
      </c>
      <c r="E53" s="538" t="s">
        <v>1121</v>
      </c>
      <c r="F53" s="538" t="s">
        <v>1122</v>
      </c>
    </row>
    <row r="54" spans="1:6" s="537" customFormat="1" x14ac:dyDescent="0.25">
      <c r="A54" s="550" t="str">
        <f t="shared" si="1"/>
        <v>04-D-049</v>
      </c>
      <c r="B54" s="787" t="str">
        <f t="shared" ca="1" si="3"/>
        <v>Voorspel de eindstand van de verschillende groepen en vul deze in op dit blad.</v>
      </c>
      <c r="C54" s="537" t="s">
        <v>1123</v>
      </c>
      <c r="D54" s="537" t="s">
        <v>1124</v>
      </c>
      <c r="E54" s="537" t="s">
        <v>1125</v>
      </c>
      <c r="F54" s="537" t="s">
        <v>1126</v>
      </c>
    </row>
    <row r="55" spans="1:6" s="538" customFormat="1" x14ac:dyDescent="0.25">
      <c r="A55" s="549" t="str">
        <f t="shared" si="1"/>
        <v>04-D-050</v>
      </c>
      <c r="B55" s="788" t="str">
        <f t="shared" ca="1" si="3"/>
        <v>Elk land mag maar één keer ingevuld worden bij het voorspellen van de eindstand in de groep.</v>
      </c>
      <c r="C55" s="538" t="s">
        <v>1127</v>
      </c>
      <c r="D55" s="538" t="s">
        <v>1128</v>
      </c>
      <c r="E55" s="538" t="s">
        <v>1129</v>
      </c>
      <c r="F55" s="538" t="s">
        <v>1130</v>
      </c>
    </row>
    <row r="56" spans="1:6" s="537" customFormat="1" x14ac:dyDescent="0.25">
      <c r="A56" s="550" t="str">
        <f t="shared" si="1"/>
        <v>04-D-051</v>
      </c>
      <c r="B56" s="787" t="str">
        <f t="shared" ca="1" si="3"/>
        <v>Indeling van de groepen</v>
      </c>
      <c r="C56" s="537" t="s">
        <v>1131</v>
      </c>
      <c r="D56" s="537" t="s">
        <v>1132</v>
      </c>
      <c r="E56" s="537" t="s">
        <v>1133</v>
      </c>
      <c r="F56" s="537" t="s">
        <v>1134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1135</v>
      </c>
      <c r="D57" s="538" t="s">
        <v>1136</v>
      </c>
      <c r="E57" s="538" t="s">
        <v>1137</v>
      </c>
      <c r="F57" s="538" t="s">
        <v>1138</v>
      </c>
    </row>
    <row r="58" spans="1:6" s="537" customFormat="1" x14ac:dyDescent="0.25">
      <c r="A58" s="550" t="str">
        <f t="shared" si="1"/>
        <v>04-D-053</v>
      </c>
      <c r="B58" s="787" t="str">
        <f t="shared" ca="1" si="3"/>
        <v>Eindstand in de groep op basis van eerdere voorspellingen</v>
      </c>
      <c r="C58" s="537" t="s">
        <v>1139</v>
      </c>
      <c r="D58" s="537" t="s">
        <v>1140</v>
      </c>
      <c r="E58" s="537" t="s">
        <v>1141</v>
      </c>
      <c r="F58" s="537" t="s">
        <v>1142</v>
      </c>
    </row>
    <row r="59" spans="1:6" s="538" customFormat="1" x14ac:dyDescent="0.25">
      <c r="A59" s="549" t="str">
        <f t="shared" si="1"/>
        <v>04-D-054</v>
      </c>
      <c r="B59" s="788" t="str">
        <f t="shared" ca="1" si="3"/>
        <v>Punten</v>
      </c>
      <c r="C59" s="538" t="s">
        <v>578</v>
      </c>
      <c r="D59" s="538" t="s">
        <v>579</v>
      </c>
      <c r="E59" s="538" t="s">
        <v>580</v>
      </c>
      <c r="F59" s="538" t="s">
        <v>581</v>
      </c>
    </row>
    <row r="60" spans="1:6" s="537" customFormat="1" x14ac:dyDescent="0.25">
      <c r="A60" s="550" t="str">
        <f t="shared" si="1"/>
        <v>04-D-055</v>
      </c>
      <c r="B60" s="787" t="str">
        <f t="shared" ca="1" si="3"/>
        <v>Doelpunten voor</v>
      </c>
      <c r="C60" s="537" t="s">
        <v>1143</v>
      </c>
      <c r="D60" s="537" t="s">
        <v>1144</v>
      </c>
      <c r="E60" s="537" t="s">
        <v>1145</v>
      </c>
      <c r="F60" s="537" t="s">
        <v>1146</v>
      </c>
    </row>
    <row r="61" spans="1:6" s="538" customFormat="1" x14ac:dyDescent="0.25">
      <c r="A61" s="549" t="str">
        <f t="shared" si="1"/>
        <v>04-D-056</v>
      </c>
      <c r="B61" s="788" t="str">
        <f t="shared" ca="1" si="3"/>
        <v>Doelpunten tegen</v>
      </c>
      <c r="C61" s="538" t="s">
        <v>1147</v>
      </c>
      <c r="D61" s="538" t="s">
        <v>1148</v>
      </c>
      <c r="E61" s="538" t="s">
        <v>1149</v>
      </c>
      <c r="F61" s="538" t="s">
        <v>1150</v>
      </c>
    </row>
    <row r="62" spans="1:6" s="537" customFormat="1" x14ac:dyDescent="0.25">
      <c r="A62" s="550" t="str">
        <f t="shared" si="1"/>
        <v>04-D-057</v>
      </c>
      <c r="B62" s="787" t="str">
        <f t="shared" ca="1" si="3"/>
        <v>LET OP: niet alle wedstrijden in groep # zijn ingevuld.</v>
      </c>
      <c r="C62" s="537" t="s">
        <v>1151</v>
      </c>
      <c r="D62" s="537" t="s">
        <v>1152</v>
      </c>
      <c r="E62" s="537" t="s">
        <v>1153</v>
      </c>
      <c r="F62" s="537" t="s">
        <v>1154</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1155</v>
      </c>
      <c r="D64" s="537" t="s">
        <v>1156</v>
      </c>
      <c r="E64" s="537" t="s">
        <v>1157</v>
      </c>
      <c r="F64" s="537" t="s">
        <v>122</v>
      </c>
    </row>
    <row r="65" spans="1:6" s="538" customFormat="1" x14ac:dyDescent="0.25">
      <c r="A65" s="549" t="str">
        <f t="shared" si="1"/>
        <v>04-D-060</v>
      </c>
      <c r="B65" s="788" t="str">
        <f t="shared" ca="1" si="4"/>
        <v>Voorspel de landen en de uitslag van de Finalewedstrijden en vul deze in op dit blad.</v>
      </c>
      <c r="C65" s="538" t="s">
        <v>1158</v>
      </c>
      <c r="D65" s="538" t="s">
        <v>1159</v>
      </c>
      <c r="E65" s="538" t="s">
        <v>1160</v>
      </c>
      <c r="F65" s="538" t="s">
        <v>1161</v>
      </c>
    </row>
    <row r="66" spans="1:6" s="537" customFormat="1" x14ac:dyDescent="0.25">
      <c r="A66" s="550" t="str">
        <f t="shared" si="1"/>
        <v>04-D-061</v>
      </c>
      <c r="B66" s="787" t="str">
        <f t="shared" ca="1" si="4"/>
        <v>Voorspel de landen en welk team de wedstrijd wint of een gelijkspel en vul dit in op dit blad.</v>
      </c>
      <c r="C66" s="537" t="s">
        <v>1162</v>
      </c>
      <c r="D66" s="537" t="s">
        <v>1163</v>
      </c>
      <c r="E66" s="537" t="s">
        <v>1164</v>
      </c>
      <c r="F66" s="537" t="s">
        <v>1165</v>
      </c>
    </row>
    <row r="67" spans="1:6" s="538" customFormat="1" x14ac:dyDescent="0.25">
      <c r="A67" s="549" t="str">
        <f t="shared" si="1"/>
        <v>04-D-062</v>
      </c>
      <c r="B67" s="788" t="str">
        <f t="shared" ca="1" si="4"/>
        <v>Voorspel de landen in de Finalewedstrijden en vul deze in op dit blad.</v>
      </c>
      <c r="C67" s="538" t="s">
        <v>1166</v>
      </c>
      <c r="D67" s="538" t="s">
        <v>1167</v>
      </c>
      <c r="E67" s="538" t="s">
        <v>1168</v>
      </c>
      <c r="F67" s="538" t="s">
        <v>1169</v>
      </c>
    </row>
    <row r="68" spans="1:6" s="569" customFormat="1" x14ac:dyDescent="0.25">
      <c r="A68" s="550" t="str">
        <f t="shared" si="1"/>
        <v>04-D-063</v>
      </c>
      <c r="B68" s="787" t="str">
        <f t="shared" ca="1" si="4"/>
        <v>Het is niet toegestaan een land meerdere keren in te vullen in dezelfde speelronde.</v>
      </c>
      <c r="C68" s="537" t="s">
        <v>1170</v>
      </c>
      <c r="D68" s="537" t="s">
        <v>1171</v>
      </c>
      <c r="E68" s="537" t="s">
        <v>1172</v>
      </c>
      <c r="F68" s="537" t="s">
        <v>1173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1174</v>
      </c>
      <c r="D69" s="538" t="s">
        <v>1175</v>
      </c>
      <c r="E69" s="538" t="s">
        <v>1176</v>
      </c>
      <c r="F69" s="538" t="s">
        <v>1177</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1135</v>
      </c>
      <c r="D70" s="537" t="s">
        <v>1178</v>
      </c>
      <c r="E70" s="537" t="s">
        <v>1179</v>
      </c>
      <c r="F70" s="537" t="s">
        <v>1138</v>
      </c>
    </row>
    <row r="71" spans="1:6" s="538" customFormat="1" x14ac:dyDescent="0.25">
      <c r="A71" s="549" t="str">
        <f t="shared" si="1"/>
        <v>04-D-066</v>
      </c>
      <c r="B71" s="788" t="str">
        <f t="shared" ca="1" si="4"/>
        <v>Via onderstaande link kunt u de criteria vinden voor het bepalen van de 4 beste nummers 3 in de groepsfase.</v>
      </c>
      <c r="C71" s="538" t="s">
        <v>1180</v>
      </c>
      <c r="D71" s="538" t="s">
        <v>1181</v>
      </c>
      <c r="E71" s="538" t="s">
        <v>1182</v>
      </c>
      <c r="F71" s="538" t="s">
        <v>1183</v>
      </c>
    </row>
    <row r="72" spans="1:6" s="537" customFormat="1" x14ac:dyDescent="0.25">
      <c r="A72" s="550" t="str">
        <f t="shared" si="1"/>
        <v>04-D-067</v>
      </c>
      <c r="B72" s="787" t="str">
        <f t="shared" ca="1" si="4"/>
        <v>Tevens vind u hier ook de verdeelsleutel voor het bepalen welk team in welke achtste finale speelt.</v>
      </c>
      <c r="C72" s="537" t="s">
        <v>1184</v>
      </c>
      <c r="D72" s="537" t="s">
        <v>1185</v>
      </c>
      <c r="E72" s="537" t="s">
        <v>1186</v>
      </c>
      <c r="F72" s="537" t="s">
        <v>1187</v>
      </c>
    </row>
    <row r="73" spans="1:6" s="538" customFormat="1" x14ac:dyDescent="0.25">
      <c r="A73" s="549" t="str">
        <f t="shared" si="1"/>
        <v>04-D-068</v>
      </c>
      <c r="B73" s="788" t="str">
        <f t="shared" ca="1" si="4"/>
        <v>www.excel-pool.nl/4beste3</v>
      </c>
      <c r="C73" s="538" t="s">
        <v>1188</v>
      </c>
      <c r="D73" s="538" t="s">
        <v>1189</v>
      </c>
      <c r="E73" s="538" t="s">
        <v>1189</v>
      </c>
      <c r="F73" s="538" t="s">
        <v>1188</v>
      </c>
    </row>
    <row r="74" spans="1:6" s="537" customFormat="1" x14ac:dyDescent="0.25">
      <c r="A74" s="550" t="str">
        <f t="shared" si="1"/>
        <v>04-D-069</v>
      </c>
      <c r="B74" s="787" t="str">
        <f t="shared" ca="1" si="4"/>
        <v>Nr.1 Groep</v>
      </c>
      <c r="C74" s="537" t="s">
        <v>1190</v>
      </c>
      <c r="D74" s="537" t="s">
        <v>1191</v>
      </c>
      <c r="E74" s="537" t="s">
        <v>1192</v>
      </c>
      <c r="F74" s="537" t="s">
        <v>1193</v>
      </c>
    </row>
    <row r="75" spans="1:6" s="538" customFormat="1" x14ac:dyDescent="0.25">
      <c r="A75" s="549" t="str">
        <f t="shared" si="1"/>
        <v>04-D-070</v>
      </c>
      <c r="B75" s="788" t="str">
        <f t="shared" ca="1" si="4"/>
        <v>Nr.2 Groep</v>
      </c>
      <c r="C75" s="538" t="s">
        <v>1194</v>
      </c>
      <c r="D75" s="538" t="s">
        <v>1195</v>
      </c>
      <c r="E75" s="538" t="s">
        <v>1196</v>
      </c>
      <c r="F75" s="538" t="s">
        <v>1197</v>
      </c>
    </row>
    <row r="76" spans="1:6" s="537" customFormat="1" x14ac:dyDescent="0.25">
      <c r="A76" s="550" t="str">
        <f t="shared" si="1"/>
        <v>04-D-071</v>
      </c>
      <c r="B76" s="787" t="str">
        <f t="shared" ca="1" si="4"/>
        <v>Nr.3 Groep</v>
      </c>
      <c r="C76" s="537" t="s">
        <v>1198</v>
      </c>
      <c r="D76" s="537" t="s">
        <v>1199</v>
      </c>
      <c r="E76" s="537" t="s">
        <v>1200</v>
      </c>
      <c r="F76" s="537" t="s">
        <v>1201</v>
      </c>
    </row>
    <row r="77" spans="1:6" s="538" customFormat="1" x14ac:dyDescent="0.25">
      <c r="A77" s="549" t="str">
        <f t="shared" si="1"/>
        <v>04-D-072</v>
      </c>
      <c r="B77" s="788" t="str">
        <f t="shared" ca="1" si="4"/>
        <v>Win. Wedstrijd</v>
      </c>
      <c r="C77" s="538" t="s">
        <v>1202</v>
      </c>
      <c r="D77" s="538" t="s">
        <v>1203</v>
      </c>
      <c r="E77" s="538" t="s">
        <v>1204</v>
      </c>
      <c r="F77" s="538" t="s">
        <v>1205</v>
      </c>
    </row>
    <row r="78" spans="1:6" s="537" customFormat="1" x14ac:dyDescent="0.25">
      <c r="A78" s="550" t="str">
        <f t="shared" si="1"/>
        <v>04-D-073</v>
      </c>
      <c r="B78" s="787" t="str">
        <f t="shared" ca="1" si="4"/>
        <v>Verl. Wedstrijd</v>
      </c>
      <c r="C78" s="537" t="s">
        <v>1206</v>
      </c>
      <c r="D78" s="537" t="s">
        <v>1207</v>
      </c>
      <c r="E78" s="537" t="s">
        <v>1208</v>
      </c>
      <c r="F78" s="537" t="s">
        <v>1209</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1210</v>
      </c>
      <c r="D80" s="537" t="s">
        <v>1211</v>
      </c>
      <c r="E80" s="537" t="s">
        <v>1212</v>
      </c>
      <c r="F80" s="537" t="s">
        <v>1213</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1214</v>
      </c>
      <c r="D82" s="537" t="s">
        <v>1215</v>
      </c>
      <c r="E82" s="537" t="s">
        <v>1216</v>
      </c>
      <c r="F82" s="537" t="s">
        <v>1217</v>
      </c>
    </row>
    <row r="83" spans="1:6" s="538" customFormat="1" x14ac:dyDescent="0.25">
      <c r="A83" s="549" t="str">
        <f t="shared" si="1"/>
        <v>04-D-078</v>
      </c>
      <c r="B83" s="788" t="str">
        <f t="shared" ca="1" si="5"/>
        <v>Voor elk goed beantwoorde openvraag ontvangt u ## punt.</v>
      </c>
      <c r="C83" s="538" t="s">
        <v>1218</v>
      </c>
      <c r="D83" s="538" t="s">
        <v>1219</v>
      </c>
      <c r="E83" s="538" t="s">
        <v>1220</v>
      </c>
      <c r="F83" s="538" t="s">
        <v>1221</v>
      </c>
    </row>
    <row r="84" spans="1:6" s="537" customFormat="1" x14ac:dyDescent="0.25">
      <c r="A84" s="550" t="str">
        <f t="shared" si="1"/>
        <v>04-D-079</v>
      </c>
      <c r="B84" s="787" t="str">
        <f t="shared" ca="1" si="5"/>
        <v>Voor elk goed beantwoorde openvraag ontvangt u ## punten.</v>
      </c>
      <c r="C84" s="537" t="s">
        <v>1222</v>
      </c>
      <c r="D84" s="537" t="s">
        <v>1223</v>
      </c>
      <c r="E84" s="537" t="s">
        <v>1224</v>
      </c>
      <c r="F84" s="537" t="s">
        <v>1221</v>
      </c>
    </row>
    <row r="85" spans="1:6" s="538" customFormat="1" x14ac:dyDescent="0.25">
      <c r="A85" s="549" t="str">
        <f t="shared" si="1"/>
        <v>04-D-080</v>
      </c>
      <c r="B85" s="788" t="str">
        <f t="shared" ca="1" si="5"/>
        <v>Voorspel de topscorer van het toernooi</v>
      </c>
      <c r="C85" s="538" t="s">
        <v>1225</v>
      </c>
      <c r="D85" s="538" t="s">
        <v>1226</v>
      </c>
      <c r="E85" s="538" t="s">
        <v>1227</v>
      </c>
      <c r="F85" s="538" t="s">
        <v>1228</v>
      </c>
    </row>
    <row r="86" spans="1:6" s="537" customFormat="1" x14ac:dyDescent="0.25">
      <c r="A86" s="550" t="str">
        <f t="shared" si="1"/>
        <v>04-D-081</v>
      </c>
      <c r="B86" s="787" t="str">
        <f t="shared" ca="1" si="5"/>
        <v>Voorspel een ​​speler die een eigen doelpunt scoort</v>
      </c>
      <c r="C86" s="537" t="s">
        <v>1229</v>
      </c>
      <c r="D86" s="537" t="s">
        <v>1230</v>
      </c>
      <c r="E86" s="537" t="s">
        <v>1231</v>
      </c>
      <c r="F86" s="537" t="s">
        <v>1232</v>
      </c>
    </row>
    <row r="87" spans="1:6" s="538" customFormat="1" x14ac:dyDescent="0.25">
      <c r="A87" s="549" t="str">
        <f t="shared" si="1"/>
        <v>04-D-082</v>
      </c>
      <c r="B87" s="788" t="str">
        <f t="shared" ca="1" si="5"/>
        <v>Voorspel een ​​speler die een rode kaart ontvangt</v>
      </c>
      <c r="C87" s="538" t="s">
        <v>1233</v>
      </c>
      <c r="D87" s="538" t="s">
        <v>1234</v>
      </c>
      <c r="E87" s="538" t="s">
        <v>1235</v>
      </c>
      <c r="F87" s="538" t="s">
        <v>1236</v>
      </c>
    </row>
    <row r="88" spans="1:6" s="537" customFormat="1" x14ac:dyDescent="0.25">
      <c r="A88" s="550" t="str">
        <f t="shared" si="1"/>
        <v>04-D-083</v>
      </c>
      <c r="B88" s="787" t="str">
        <f t="shared" ca="1" si="5"/>
        <v>Voorspel de topscorer van het Nationale elftal</v>
      </c>
      <c r="C88" s="537" t="s">
        <v>1237</v>
      </c>
      <c r="D88" s="537" t="s">
        <v>1238</v>
      </c>
      <c r="E88" s="537" t="s">
        <v>1239</v>
      </c>
      <c r="F88" s="537" t="s">
        <v>1240</v>
      </c>
    </row>
    <row r="89" spans="1:6" s="538" customFormat="1" x14ac:dyDescent="0.25">
      <c r="A89" s="549" t="str">
        <f t="shared" si="1"/>
        <v>04-D-084</v>
      </c>
      <c r="B89" s="788" t="str">
        <f t="shared" ca="1" si="5"/>
        <v>Voorspel de topscorer van het</v>
      </c>
      <c r="C89" s="538" t="s">
        <v>1241</v>
      </c>
      <c r="D89" s="538" t="s">
        <v>1242</v>
      </c>
      <c r="E89" s="538" t="s">
        <v>1243</v>
      </c>
      <c r="F89" s="538" t="s">
        <v>1244</v>
      </c>
    </row>
    <row r="90" spans="1:6" s="537" customFormat="1" x14ac:dyDescent="0.25">
      <c r="A90" s="550" t="str">
        <f t="shared" si="1"/>
        <v>04-D-085</v>
      </c>
      <c r="B90" s="787" t="str">
        <f t="shared" ca="1" si="5"/>
        <v>Voorspel het elftal met de meeste doelpunten</v>
      </c>
      <c r="C90" s="537" t="s">
        <v>1245</v>
      </c>
      <c r="D90" s="537" t="s">
        <v>1246</v>
      </c>
      <c r="E90" s="537" t="s">
        <v>1247</v>
      </c>
      <c r="F90" s="537" t="s">
        <v>1248</v>
      </c>
    </row>
    <row r="91" spans="1:6" s="538" customFormat="1" x14ac:dyDescent="0.25">
      <c r="A91" s="549" t="str">
        <f t="shared" si="1"/>
        <v>04-D-086</v>
      </c>
      <c r="B91" s="788" t="str">
        <f t="shared" ca="1" si="5"/>
        <v>Voorspel het elftal met de meeste doelpunten tegen</v>
      </c>
      <c r="C91" s="538" t="s">
        <v>1249</v>
      </c>
      <c r="D91" s="538" t="s">
        <v>1250</v>
      </c>
      <c r="E91" s="538" t="s">
        <v>1251</v>
      </c>
      <c r="F91" s="538" t="s">
        <v>1252</v>
      </c>
    </row>
    <row r="92" spans="1:6" s="537" customFormat="1" x14ac:dyDescent="0.25">
      <c r="A92" s="550" t="str">
        <f t="shared" si="1"/>
        <v>04-D-087</v>
      </c>
      <c r="B92" s="787" t="str">
        <f t="shared" ca="1" si="5"/>
        <v>Voorspel het elftal met de meeste rode en gele kaarten</v>
      </c>
      <c r="C92" s="537" t="s">
        <v>1253</v>
      </c>
      <c r="D92" s="537" t="s">
        <v>1254</v>
      </c>
      <c r="E92" s="537" t="s">
        <v>1255</v>
      </c>
      <c r="F92" s="537" t="s">
        <v>1256</v>
      </c>
    </row>
    <row r="93" spans="1:6" s="538" customFormat="1" x14ac:dyDescent="0.25">
      <c r="A93" s="549" t="str">
        <f t="shared" si="1"/>
        <v>04-D-088</v>
      </c>
      <c r="B93" s="788" t="str">
        <f t="shared" ca="1" si="5"/>
        <v>afhankelijk van het reglement worden de doelpunten gescoord tijdens de verlenging wel of niet meegeteld.</v>
      </c>
      <c r="C93" s="538" t="s">
        <v>1257</v>
      </c>
      <c r="D93" s="538" t="s">
        <v>1258</v>
      </c>
      <c r="E93" s="538" t="s">
        <v>1259</v>
      </c>
      <c r="F93" s="538" t="s">
        <v>1260</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1261</v>
      </c>
      <c r="D94" s="537" t="s">
        <v>1262</v>
      </c>
      <c r="E94" s="537" t="s">
        <v>1263</v>
      </c>
      <c r="F94" s="537" t="s">
        <v>1264</v>
      </c>
    </row>
    <row r="95" spans="1:6" s="538" customFormat="1" x14ac:dyDescent="0.25">
      <c r="A95" s="549" t="str">
        <f t="shared" si="1"/>
        <v>04-D-090</v>
      </c>
      <c r="B95" s="788" t="str">
        <f t="shared" ca="1" si="5"/>
        <v>alleen de doelpunten gescoord gedurende de reguliere speeltijd, blessuretijd en eventuele verlenging worden meegeteld.</v>
      </c>
      <c r="C95" s="538" t="s">
        <v>1265</v>
      </c>
      <c r="D95" s="538" t="s">
        <v>1266</v>
      </c>
      <c r="E95" s="538" t="s">
        <v>1267</v>
      </c>
      <c r="F95" s="538" t="s">
        <v>1268</v>
      </c>
    </row>
    <row r="96" spans="1:6" s="537" customFormat="1" x14ac:dyDescent="0.25">
      <c r="A96" s="550" t="str">
        <f t="shared" si="1"/>
        <v>04-D-091</v>
      </c>
      <c r="B96" s="787" t="str">
        <f t="shared" ca="1" si="5"/>
        <v>één rode kaart wordt geteld als twee gele kaarten, bij indirect rood worden de gele kaarten niet meegeteld.</v>
      </c>
      <c r="C96" s="537" t="s">
        <v>1269</v>
      </c>
      <c r="D96" s="537" t="s">
        <v>1270</v>
      </c>
      <c r="E96" s="537" t="s">
        <v>1271</v>
      </c>
      <c r="F96" s="537" t="s">
        <v>1272</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1273</v>
      </c>
      <c r="D98" s="537" t="s">
        <v>1274</v>
      </c>
      <c r="E98" s="537" t="s">
        <v>1275</v>
      </c>
      <c r="F98" s="537" t="s">
        <v>1276</v>
      </c>
    </row>
    <row r="99" spans="1:6" s="538" customFormat="1" x14ac:dyDescent="0.25">
      <c r="A99" s="549" t="str">
        <f t="shared" si="6"/>
        <v>04-D-094</v>
      </c>
      <c r="B99" s="788" t="str">
        <f t="shared" ca="1" si="5"/>
        <v>Voor elk goed beantwoorde benaderingsvraag ontvangt u ## punt.</v>
      </c>
      <c r="C99" s="538" t="s">
        <v>1277</v>
      </c>
      <c r="D99" s="538" t="s">
        <v>1278</v>
      </c>
      <c r="E99" s="538" t="s">
        <v>1279</v>
      </c>
      <c r="F99" s="538" t="s">
        <v>1280</v>
      </c>
    </row>
    <row r="100" spans="1:6" s="537" customFormat="1" x14ac:dyDescent="0.25">
      <c r="A100" s="550" t="str">
        <f t="shared" si="6"/>
        <v>04-D-095</v>
      </c>
      <c r="B100" s="787" t="str">
        <f t="shared" ca="1" si="5"/>
        <v>Voor elk goed beantwoorde benaderingsvraag ontvangt u ## punten.</v>
      </c>
      <c r="C100" s="537" t="s">
        <v>1281</v>
      </c>
      <c r="D100" s="537" t="s">
        <v>1282</v>
      </c>
      <c r="E100" s="537" t="s">
        <v>1283</v>
      </c>
      <c r="F100" s="537" t="s">
        <v>1280</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1284</v>
      </c>
      <c r="D101" s="538" t="s">
        <v>1285</v>
      </c>
      <c r="E101" s="538" t="s">
        <v>1286</v>
      </c>
      <c r="F101" s="538" t="s">
        <v>1287</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1288</v>
      </c>
      <c r="D102" s="537" t="s">
        <v>1289</v>
      </c>
      <c r="E102" s="537" t="s">
        <v>1290</v>
      </c>
      <c r="F102" s="537" t="s">
        <v>1291</v>
      </c>
    </row>
    <row r="103" spans="1:6" s="538" customFormat="1" x14ac:dyDescent="0.25">
      <c r="A103" s="549" t="str">
        <f t="shared" si="6"/>
        <v>04-D-098</v>
      </c>
      <c r="B103" s="788" t="str">
        <f t="shared" ca="1" si="5"/>
        <v>Per benaderingsvraag wordt de voorspelling die het dichtst bij de uitkomst ligt beloond met ## punt.</v>
      </c>
      <c r="C103" s="538" t="s">
        <v>1292</v>
      </c>
      <c r="D103" s="538" t="s">
        <v>1293</v>
      </c>
      <c r="E103" s="538" t="s">
        <v>1294</v>
      </c>
      <c r="F103" s="538" t="s">
        <v>1295</v>
      </c>
    </row>
    <row r="104" spans="1:6" s="537" customFormat="1" x14ac:dyDescent="0.25">
      <c r="A104" s="550" t="str">
        <f t="shared" si="6"/>
        <v>04-D-099</v>
      </c>
      <c r="B104" s="787" t="str">
        <f t="shared" ca="1" si="5"/>
        <v>Per benaderingsvraag wordt de voorspelling die het dichtst bij de uitkomst ligt beloond met ## punten.</v>
      </c>
      <c r="C104" s="537" t="s">
        <v>1296</v>
      </c>
      <c r="D104" s="537" t="s">
        <v>1297</v>
      </c>
      <c r="E104" s="537" t="s">
        <v>1298</v>
      </c>
      <c r="F104" s="537" t="s">
        <v>1299</v>
      </c>
    </row>
    <row r="105" spans="1:6" s="538" customFormat="1" x14ac:dyDescent="0.25">
      <c r="A105" s="549" t="str">
        <f t="shared" si="6"/>
        <v>04-D-100</v>
      </c>
      <c r="B105" s="788" t="str">
        <f t="shared" ca="1" si="5"/>
        <v>Per benaderingsvraag worden de $$ voorspellingen die het dichtst bij de uitkomst liggen beloond met ## punt.</v>
      </c>
      <c r="C105" s="538" t="s">
        <v>1300</v>
      </c>
      <c r="D105" s="538" t="s">
        <v>1301</v>
      </c>
      <c r="E105" s="538" t="s">
        <v>1302</v>
      </c>
      <c r="F105" s="538" t="s">
        <v>1303</v>
      </c>
    </row>
    <row r="106" spans="1:6" s="537" customFormat="1" x14ac:dyDescent="0.25">
      <c r="A106" s="550" t="str">
        <f t="shared" si="6"/>
        <v>04-D-101</v>
      </c>
      <c r="B106" s="787" t="str">
        <f t="shared" ca="1" si="5"/>
        <v>Per benaderingsvraag worden de $$ voorspellingen die het dichtst bij de uitkomst liggen beloond met ## punten.</v>
      </c>
      <c r="C106" s="537" t="s">
        <v>1304</v>
      </c>
      <c r="D106" s="537" t="s">
        <v>1305</v>
      </c>
      <c r="E106" s="537" t="s">
        <v>1306</v>
      </c>
      <c r="F106" s="537" t="s">
        <v>1307</v>
      </c>
    </row>
    <row r="107" spans="1:6" s="538" customFormat="1" x14ac:dyDescent="0.25">
      <c r="A107" s="549" t="str">
        <f t="shared" si="6"/>
        <v>04-D-102</v>
      </c>
      <c r="B107" s="788" t="str">
        <f t="shared" ca="1" si="5"/>
        <v>Totaal aantal gescoorde doelpunten tijdens het gehele toernooi</v>
      </c>
      <c r="C107" s="538" t="s">
        <v>1308</v>
      </c>
      <c r="D107" s="538" t="s">
        <v>1309</v>
      </c>
      <c r="E107" s="538" t="s">
        <v>1310</v>
      </c>
      <c r="F107" s="538" t="s">
        <v>1311</v>
      </c>
    </row>
    <row r="108" spans="1:6" s="537" customFormat="1" x14ac:dyDescent="0.25">
      <c r="A108" s="550" t="str">
        <f t="shared" si="6"/>
        <v>04-D-103</v>
      </c>
      <c r="B108" s="787" t="str">
        <f t="shared" ca="1" si="5"/>
        <v>Totaal aantal gegeven gele kaarten tijdens het gehele toernooi</v>
      </c>
      <c r="C108" s="537" t="s">
        <v>1312</v>
      </c>
      <c r="D108" s="537" t="s">
        <v>1313</v>
      </c>
      <c r="E108" s="537" t="s">
        <v>1314</v>
      </c>
      <c r="F108" s="537" t="s">
        <v>1315</v>
      </c>
    </row>
    <row r="109" spans="1:6" s="538" customFormat="1" x14ac:dyDescent="0.25">
      <c r="A109" s="549" t="str">
        <f t="shared" si="6"/>
        <v>04-D-104</v>
      </c>
      <c r="B109" s="788" t="str">
        <f t="shared" ca="1" si="5"/>
        <v>Totaal aantal gegeven rode kaarten tijdens het gehele toernooi</v>
      </c>
      <c r="C109" s="538" t="s">
        <v>1316</v>
      </c>
      <c r="D109" s="538" t="s">
        <v>1317</v>
      </c>
      <c r="E109" s="538" t="s">
        <v>1318</v>
      </c>
      <c r="F109" s="538" t="s">
        <v>1319</v>
      </c>
    </row>
    <row r="110" spans="1:6" s="537" customFormat="1" x14ac:dyDescent="0.25">
      <c r="A110" s="550" t="str">
        <f t="shared" si="6"/>
        <v>04-D-105</v>
      </c>
      <c r="B110" s="787" t="str">
        <f t="shared" ca="1" si="5"/>
        <v>Aantal wedstrijden die eindigen in een gelijkspel voor beide teams</v>
      </c>
      <c r="C110" s="537" t="s">
        <v>1320</v>
      </c>
      <c r="D110" s="537" t="s">
        <v>1321</v>
      </c>
      <c r="E110" s="537" t="s">
        <v>1322</v>
      </c>
      <c r="F110" s="537" t="s">
        <v>1323</v>
      </c>
    </row>
    <row r="111" spans="1:6" s="538" customFormat="1" x14ac:dyDescent="0.25">
      <c r="A111" s="549" t="str">
        <f t="shared" si="6"/>
        <v>04-D-106</v>
      </c>
      <c r="B111" s="788" t="str">
        <f t="shared" ca="1" si="5"/>
        <v>Aantal wedstrijden die eindigen in winst voor één van de teams</v>
      </c>
      <c r="C111" s="538" t="s">
        <v>1324</v>
      </c>
      <c r="D111" s="538" t="s">
        <v>1325</v>
      </c>
      <c r="E111" s="538" t="s">
        <v>1326</v>
      </c>
      <c r="F111" s="538" t="s">
        <v>1327</v>
      </c>
    </row>
    <row r="112" spans="1:6" s="537" customFormat="1" x14ac:dyDescent="0.25">
      <c r="A112" s="550" t="str">
        <f t="shared" si="6"/>
        <v>04-D-107</v>
      </c>
      <c r="B112" s="787" t="str">
        <f t="shared" ca="1" si="5"/>
        <v>twee gele kaarten voor één speler in een wedstrijd zal worden geteld als één rode kaart.</v>
      </c>
      <c r="C112" s="537" t="s">
        <v>1328</v>
      </c>
      <c r="D112" s="537" t="s">
        <v>1329</v>
      </c>
      <c r="E112" s="537" t="s">
        <v>1330</v>
      </c>
      <c r="F112" s="537" t="s">
        <v>1331</v>
      </c>
    </row>
    <row r="113" spans="1:6" s="538" customFormat="1" x14ac:dyDescent="0.25">
      <c r="A113" s="549" t="str">
        <f t="shared" si="6"/>
        <v>04-D-108</v>
      </c>
      <c r="B113" s="788" t="str">
        <f t="shared" ca="1" si="5"/>
        <v>de stand na de reguliere speeltijd inclusief blessuretijd wordt aangehouden.</v>
      </c>
      <c r="C113" s="538" t="s">
        <v>1332</v>
      </c>
      <c r="D113" s="538" t="s">
        <v>1333</v>
      </c>
      <c r="E113" s="538" t="s">
        <v>1334</v>
      </c>
      <c r="F113" s="538" t="s">
        <v>1335</v>
      </c>
    </row>
    <row r="114" spans="1:6" s="537" customFormat="1" x14ac:dyDescent="0.25">
      <c r="A114" s="550" t="str">
        <f t="shared" si="6"/>
        <v>04-D-109</v>
      </c>
      <c r="B114" s="787" t="str">
        <f t="shared" ca="1" si="5"/>
        <v>de stand na de reguliere speeltijd, blessurre tijd en eventuele verlenging wordt aangehouden.</v>
      </c>
      <c r="C114" s="537" t="s">
        <v>1336</v>
      </c>
      <c r="D114" s="537" t="s">
        <v>1337</v>
      </c>
      <c r="E114" s="537" t="s">
        <v>1338</v>
      </c>
      <c r="F114" s="537" t="s">
        <v>1339</v>
      </c>
    </row>
    <row r="115" spans="1:6" s="538" customFormat="1" x14ac:dyDescent="0.25">
      <c r="A115" s="549" t="str">
        <f t="shared" si="6"/>
        <v>04-D-110</v>
      </c>
      <c r="B115" s="788" t="str">
        <f t="shared" ca="1" si="5"/>
        <v>TIP</v>
      </c>
      <c r="C115" s="538" t="s">
        <v>1340</v>
      </c>
      <c r="D115" s="538" t="s">
        <v>1341</v>
      </c>
      <c r="E115" s="538" t="s">
        <v>1342</v>
      </c>
      <c r="F115" s="538" t="s">
        <v>1343</v>
      </c>
    </row>
    <row r="116" spans="1:6" s="537" customFormat="1" x14ac:dyDescent="0.25">
      <c r="A116" s="550" t="str">
        <f t="shared" si="6"/>
        <v>04-D-111</v>
      </c>
      <c r="B116" s="787" t="str">
        <f t="shared" ca="1" si="5"/>
        <v>Het toernooi bestaat uit 51 wedstrijden waarvan 36 groepswedstrijden en 15 finales.</v>
      </c>
      <c r="C116" s="537" t="s">
        <v>1344</v>
      </c>
      <c r="D116" s="537" t="s">
        <v>1345</v>
      </c>
      <c r="E116" s="537" t="s">
        <v>1346</v>
      </c>
      <c r="F116" s="537" t="s">
        <v>1347</v>
      </c>
    </row>
    <row r="117" spans="1:6" s="538" customFormat="1" x14ac:dyDescent="0.25">
      <c r="A117" s="549" t="str">
        <f t="shared" si="6"/>
        <v>04-D-112</v>
      </c>
      <c r="B117" s="788" t="str">
        <f t="shared" ca="1" si="5"/>
        <v>Het toernooi bestaat</v>
      </c>
      <c r="C117" s="538" t="s">
        <v>1348</v>
      </c>
      <c r="D117" s="538" t="s">
        <v>1349</v>
      </c>
      <c r="E117" s="538" t="s">
        <v>1350</v>
      </c>
      <c r="F117" s="538" t="s">
        <v>1351</v>
      </c>
    </row>
    <row r="118" spans="1:6" s="537" customFormat="1" x14ac:dyDescent="0.25">
      <c r="A118" s="550" t="str">
        <f t="shared" si="6"/>
        <v>04-D-113</v>
      </c>
      <c r="B118" s="787" t="str">
        <f t="shared" ca="1" si="5"/>
        <v>uit 51 wedstrijden</v>
      </c>
      <c r="C118" s="537" t="s">
        <v>1352</v>
      </c>
      <c r="D118" s="537" t="s">
        <v>1353</v>
      </c>
      <c r="E118" s="537" t="s">
        <v>1354</v>
      </c>
      <c r="F118" s="537" t="s">
        <v>1355</v>
      </c>
    </row>
    <row r="119" spans="1:6" s="538" customFormat="1" x14ac:dyDescent="0.25">
      <c r="A119" s="549" t="str">
        <f t="shared" si="6"/>
        <v>04-D-114</v>
      </c>
      <c r="B119" s="788" t="str">
        <f t="shared" ca="1" si="5"/>
        <v>waarvan 36 groeps-</v>
      </c>
      <c r="C119" s="538" t="s">
        <v>1356</v>
      </c>
      <c r="D119" s="538" t="s">
        <v>1357</v>
      </c>
      <c r="E119" s="538" t="s">
        <v>1358</v>
      </c>
      <c r="F119" s="538" t="s">
        <v>1359</v>
      </c>
    </row>
    <row r="120" spans="1:6" s="537" customFormat="1" x14ac:dyDescent="0.25">
      <c r="A120" s="550" t="str">
        <f t="shared" si="6"/>
        <v>04-D-115</v>
      </c>
      <c r="B120" s="787" t="str">
        <f t="shared" ca="1" si="5"/>
        <v>wedstrijden en 15</v>
      </c>
      <c r="C120" s="537" t="s">
        <v>1360</v>
      </c>
      <c r="D120" s="537" t="s">
        <v>1361</v>
      </c>
      <c r="E120" s="537" t="s">
        <v>1362</v>
      </c>
      <c r="F120" s="537" t="s">
        <v>1363</v>
      </c>
    </row>
    <row r="121" spans="1:6" s="538" customFormat="1" x14ac:dyDescent="0.25">
      <c r="A121" s="549" t="str">
        <f t="shared" si="6"/>
        <v>04-D-116</v>
      </c>
      <c r="B121" s="788" t="str">
        <f t="shared" ca="1" si="5"/>
        <v>finales.</v>
      </c>
      <c r="C121" s="538" t="s">
        <v>1364</v>
      </c>
      <c r="D121" s="538" t="s">
        <v>1365</v>
      </c>
      <c r="E121" s="538" t="s">
        <v>1366</v>
      </c>
      <c r="F121" s="538" t="s">
        <v>1367</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1368</v>
      </c>
      <c r="D124" s="537" t="s">
        <v>1369</v>
      </c>
      <c r="E124" s="537" t="s">
        <v>1370</v>
      </c>
      <c r="F124" s="537" t="s">
        <v>1371</v>
      </c>
    </row>
    <row r="125" spans="1:6" s="538" customFormat="1" x14ac:dyDescent="0.25">
      <c r="A125" s="549" t="str">
        <f t="shared" si="6"/>
        <v>04-D-120</v>
      </c>
      <c r="B125" s="788" t="str">
        <f t="shared" ca="1" si="7"/>
        <v>Voor elk goed beantwoorde stelling ontvangt u ## punt.</v>
      </c>
      <c r="C125" s="538" t="s">
        <v>1372</v>
      </c>
      <c r="D125" s="538" t="s">
        <v>1373</v>
      </c>
      <c r="E125" s="538" t="s">
        <v>1374</v>
      </c>
      <c r="F125" s="538" t="s">
        <v>1375</v>
      </c>
    </row>
    <row r="126" spans="1:6" s="537" customFormat="1" x14ac:dyDescent="0.25">
      <c r="A126" s="550" t="str">
        <f t="shared" si="6"/>
        <v>04-D-121</v>
      </c>
      <c r="B126" s="787" t="str">
        <f t="shared" ca="1" si="7"/>
        <v>Voor elk goed beantwoorde stelling ontvangt u ## punten.</v>
      </c>
      <c r="C126" s="537" t="s">
        <v>1376</v>
      </c>
      <c r="D126" s="537" t="s">
        <v>1377</v>
      </c>
      <c r="E126" s="537" t="s">
        <v>1378</v>
      </c>
      <c r="F126" s="537" t="s">
        <v>1379</v>
      </c>
    </row>
    <row r="127" spans="1:6" s="538" customFormat="1" x14ac:dyDescent="0.25">
      <c r="A127" s="549" t="str">
        <f t="shared" si="6"/>
        <v>04-D-122</v>
      </c>
      <c r="B127" s="788" t="str">
        <f t="shared" ca="1" si="7"/>
        <v>Eens</v>
      </c>
      <c r="C127" s="538" t="s">
        <v>1380</v>
      </c>
      <c r="D127" s="538" t="s">
        <v>1381</v>
      </c>
      <c r="E127" s="538" t="s">
        <v>1382</v>
      </c>
      <c r="F127" s="538" t="s">
        <v>1383</v>
      </c>
    </row>
    <row r="128" spans="1:6" s="537" customFormat="1" x14ac:dyDescent="0.25">
      <c r="A128" s="550" t="str">
        <f t="shared" si="6"/>
        <v>04-D-123</v>
      </c>
      <c r="B128" s="787" t="str">
        <f t="shared" ca="1" si="7"/>
        <v>Oneens</v>
      </c>
      <c r="C128" s="537" t="s">
        <v>1384</v>
      </c>
      <c r="D128" s="537" t="s">
        <v>1385</v>
      </c>
      <c r="E128" s="537" t="s">
        <v>1386</v>
      </c>
      <c r="F128" s="537" t="s">
        <v>1387</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1388</v>
      </c>
      <c r="D129" s="538" t="s">
        <v>1389</v>
      </c>
      <c r="E129" s="538" t="s">
        <v>1390</v>
      </c>
      <c r="F129" s="538" t="s">
        <v>1391</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1392</v>
      </c>
      <c r="D130" s="537" t="s">
        <v>1393</v>
      </c>
      <c r="E130" s="537" t="s">
        <v>1394</v>
      </c>
      <c r="F130" s="537" t="s">
        <v>1395</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1396</v>
      </c>
      <c r="D131" s="538" t="s">
        <v>1397</v>
      </c>
      <c r="E131" s="538" t="s">
        <v>1398</v>
      </c>
      <c r="F131" s="538" t="s">
        <v>1399</v>
      </c>
    </row>
    <row r="132" spans="1:8" s="825" customFormat="1" x14ac:dyDescent="0.25">
      <c r="A132" s="550" t="str">
        <f t="shared" si="6"/>
        <v>04-D-127</v>
      </c>
      <c r="B132" s="787" t="str">
        <f t="shared" ca="1" si="7"/>
        <v>Van de vijftien finale wedstrijden worden zes wedstrijden of meer beslist door een verlenging of strafschoppenserie.</v>
      </c>
      <c r="C132" s="537" t="s">
        <v>1400</v>
      </c>
      <c r="D132" s="537" t="s">
        <v>1401</v>
      </c>
      <c r="E132" s="537" t="s">
        <v>1402</v>
      </c>
      <c r="F132" s="537" t="s">
        <v>1403</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1404</v>
      </c>
      <c r="D133" s="538" t="s">
        <v>1405</v>
      </c>
      <c r="E133" s="538" t="s">
        <v>1406</v>
      </c>
      <c r="F133" s="538" t="s">
        <v>1407</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1408</v>
      </c>
      <c r="D134" s="537" t="s">
        <v>1409</v>
      </c>
      <c r="E134" s="537" t="s">
        <v>1410</v>
      </c>
      <c r="F134" s="537" t="s">
        <v>1411</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1412</v>
      </c>
      <c r="D135" s="538" t="s">
        <v>1413</v>
      </c>
      <c r="E135" s="538" t="s">
        <v>1414</v>
      </c>
      <c r="F135" s="538" t="s">
        <v>1415</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1416</v>
      </c>
      <c r="D136" s="537" t="s">
        <v>1417</v>
      </c>
      <c r="E136" s="537" t="s">
        <v>1418</v>
      </c>
      <c r="F136" s="537" t="s">
        <v>1419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1420</v>
      </c>
      <c r="D137" s="538" t="s">
        <v>1421</v>
      </c>
      <c r="E137" s="538" t="s">
        <v>1422</v>
      </c>
      <c r="F137" s="538" t="s">
        <v>1423</v>
      </c>
      <c r="H137" s="824" t="s">
        <v>1424</v>
      </c>
    </row>
    <row r="138" spans="1:8" s="825" customFormat="1" x14ac:dyDescent="0.25">
      <c r="A138" s="550" t="str">
        <f t="shared" si="6"/>
        <v>04-D-133</v>
      </c>
      <c r="B138" s="787" t="str">
        <f t="shared" ca="1" si="7"/>
        <v>De winnaar van het toernooi levert tevens ook de topscorer van het toernooi of één van de topscorers.</v>
      </c>
      <c r="C138" s="537" t="s">
        <v>1425</v>
      </c>
      <c r="D138" s="537" t="s">
        <v>1426</v>
      </c>
      <c r="E138" s="537" t="s">
        <v>1427</v>
      </c>
      <c r="F138" s="537" t="s">
        <v>1424</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1428</v>
      </c>
      <c r="D139" s="538" t="s">
        <v>1429</v>
      </c>
      <c r="E139" s="538" t="s">
        <v>1430</v>
      </c>
      <c r="F139" s="538" t="s">
        <v>1431</v>
      </c>
    </row>
    <row r="140" spans="1:8" s="825" customFormat="1" x14ac:dyDescent="0.25">
      <c r="A140" s="550" t="str">
        <f t="shared" si="6"/>
        <v>04-D-135</v>
      </c>
      <c r="B140" s="787" t="str">
        <f t="shared" ca="1" si="7"/>
        <v>Alle 24 deelnemende landen weten elk minimaal één keer te scoren gedurende het toernooi.</v>
      </c>
      <c r="C140" s="537" t="s">
        <v>1432</v>
      </c>
      <c r="D140" s="537" t="s">
        <v>1433</v>
      </c>
      <c r="E140" s="537" t="s">
        <v>1434</v>
      </c>
      <c r="F140" s="537" t="s">
        <v>1435</v>
      </c>
    </row>
    <row r="141" spans="1:8" s="824" customFormat="1" x14ac:dyDescent="0.25">
      <c r="A141" s="549" t="str">
        <f t="shared" si="6"/>
        <v>04-D-136</v>
      </c>
      <c r="B141" s="788" t="str">
        <f t="shared" ca="1" si="7"/>
        <v>Van alle gescoorde doelpunten tijdens het toernooi worden er minimaal vijf in eigen doel gescoord.</v>
      </c>
      <c r="C141" s="538" t="s">
        <v>1436</v>
      </c>
      <c r="D141" s="538" t="s">
        <v>1437</v>
      </c>
      <c r="E141" s="538" t="s">
        <v>1438</v>
      </c>
      <c r="F141" s="538" t="s">
        <v>1439</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1440</v>
      </c>
      <c r="D142" s="537" t="s">
        <v>1441</v>
      </c>
      <c r="E142" s="537" t="str">
        <f>D142</f>
        <v>During the tournament, no more than six goals will be scored in one match (including any extra time).</v>
      </c>
      <c r="F142" s="537" t="s">
        <v>1442</v>
      </c>
    </row>
    <row r="143" spans="1:8" s="824" customFormat="1" x14ac:dyDescent="0.25">
      <c r="A143" s="549" t="str">
        <f t="shared" si="6"/>
        <v>04-D-138</v>
      </c>
      <c r="B143" s="788" t="str">
        <f t="shared" ca="1" si="7"/>
        <v>Gedurende het toernooi weet de scheidsrechter in twee of meerdere wedstrijden zijn kaarten op zak te houden.</v>
      </c>
      <c r="C143" s="538" t="s">
        <v>1443</v>
      </c>
      <c r="D143" s="538" t="s">
        <v>1444</v>
      </c>
      <c r="E143" s="538" t="s">
        <v>1445</v>
      </c>
      <c r="F143" s="538" t="s">
        <v>1446</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1447</v>
      </c>
      <c r="D146" s="537" t="s">
        <v>1448</v>
      </c>
      <c r="E146" s="537" t="s">
        <v>1449</v>
      </c>
      <c r="F146" s="537" t="s">
        <v>1450</v>
      </c>
    </row>
    <row r="147" spans="1:6" s="538" customFormat="1" x14ac:dyDescent="0.25">
      <c r="A147" s="549" t="str">
        <f t="shared" si="6"/>
        <v>04-D-142</v>
      </c>
      <c r="B147" s="788" t="str">
        <f t="shared" ca="1" si="8"/>
        <v>geen suggestie mogelijk</v>
      </c>
      <c r="C147" s="538" t="s">
        <v>1451</v>
      </c>
      <c r="D147" s="538" t="s">
        <v>1452</v>
      </c>
      <c r="E147" s="538" t="s">
        <v>1453</v>
      </c>
      <c r="F147" s="538" t="s">
        <v>1454</v>
      </c>
    </row>
    <row r="148" spans="1:6" s="537" customFormat="1" x14ac:dyDescent="0.25">
      <c r="A148" s="550" t="str">
        <f t="shared" si="6"/>
        <v>04-D-143</v>
      </c>
      <c r="B148" s="787" t="str">
        <f t="shared" ca="1" si="8"/>
        <v>suggestie is op basis van enkel de groepswedstrijden</v>
      </c>
      <c r="C148" s="537" t="s">
        <v>1455</v>
      </c>
      <c r="D148" s="537" t="s">
        <v>1456</v>
      </c>
      <c r="E148" s="537" t="s">
        <v>1457</v>
      </c>
      <c r="F148" s="537" t="s">
        <v>1458</v>
      </c>
    </row>
    <row r="149" spans="1:6" s="538" customFormat="1" x14ac:dyDescent="0.25">
      <c r="A149" s="549" t="str">
        <f t="shared" si="6"/>
        <v>04-D-144</v>
      </c>
      <c r="B149" s="788" t="str">
        <f t="shared" ca="1" si="8"/>
        <v>wedstrijden waarin de beslissing tijdens de verlenging valt zijn niet meegeteld</v>
      </c>
      <c r="C149" s="538" t="s">
        <v>1459</v>
      </c>
      <c r="D149" s="538" t="s">
        <v>1460</v>
      </c>
      <c r="E149" s="538" t="s">
        <v>1461</v>
      </c>
      <c r="F149" s="538" t="s">
        <v>1462</v>
      </c>
    </row>
    <row r="150" spans="1:6" s="537" customFormat="1" x14ac:dyDescent="0.25">
      <c r="A150" s="550" t="str">
        <f t="shared" si="6"/>
        <v>04-D-145</v>
      </c>
      <c r="B150" s="787" t="str">
        <f t="shared" ca="1" si="8"/>
        <v>doelpunten gescoord tijdens een eventuele verlenging zijn niet meegeteld</v>
      </c>
      <c r="C150" s="537" t="s">
        <v>1463</v>
      </c>
      <c r="D150" s="537" t="s">
        <v>1464</v>
      </c>
      <c r="E150" s="537" t="s">
        <v>1465</v>
      </c>
      <c r="F150" s="537" t="s">
        <v>1466</v>
      </c>
    </row>
    <row r="151" spans="1:6" s="538" customFormat="1" x14ac:dyDescent="0.25">
      <c r="A151" s="549" t="str">
        <f t="shared" si="6"/>
        <v>04-D-146</v>
      </c>
      <c r="B151" s="788" t="str">
        <f t="shared" ca="1" si="8"/>
        <v>doelpunt</v>
      </c>
      <c r="C151" s="538" t="s">
        <v>1467</v>
      </c>
      <c r="D151" s="538" t="s">
        <v>1468</v>
      </c>
      <c r="E151" s="538" t="s">
        <v>1469</v>
      </c>
      <c r="F151" s="538" t="s">
        <v>1470</v>
      </c>
    </row>
    <row r="152" spans="1:6" s="537" customFormat="1" x14ac:dyDescent="0.25">
      <c r="A152" s="550" t="str">
        <f t="shared" si="6"/>
        <v>04-D-147</v>
      </c>
      <c r="B152" s="787" t="str">
        <f t="shared" ca="1" si="8"/>
        <v>doelpunten</v>
      </c>
      <c r="C152" s="537" t="s">
        <v>1471</v>
      </c>
      <c r="D152" s="537" t="s">
        <v>1472</v>
      </c>
      <c r="E152" s="537" t="s">
        <v>1473</v>
      </c>
      <c r="F152" s="537" t="s">
        <v>1470</v>
      </c>
    </row>
    <row r="153" spans="1:6" s="538" customFormat="1" x14ac:dyDescent="0.25">
      <c r="A153" s="549" t="str">
        <f t="shared" si="6"/>
        <v>04-D-148</v>
      </c>
      <c r="B153" s="788" t="str">
        <f t="shared" ca="1" si="8"/>
        <v>geen enkele keer gelijkspel voorspeld</v>
      </c>
      <c r="C153" s="538" t="s">
        <v>1474</v>
      </c>
      <c r="D153" s="538" t="s">
        <v>1475</v>
      </c>
      <c r="E153" s="538" t="s">
        <v>1476</v>
      </c>
      <c r="F153" s="538" t="s">
        <v>1477</v>
      </c>
    </row>
    <row r="154" spans="1:6" s="537" customFormat="1" x14ac:dyDescent="0.25">
      <c r="A154" s="550" t="str">
        <f t="shared" si="6"/>
        <v>04-D-149</v>
      </c>
      <c r="B154" s="787" t="str">
        <f t="shared" ca="1" si="8"/>
        <v>keer gelijkspel voorspeld</v>
      </c>
      <c r="C154" s="537" t="s">
        <v>1478</v>
      </c>
      <c r="D154" s="537" t="s">
        <v>1479</v>
      </c>
      <c r="E154" s="537" t="s">
        <v>1480</v>
      </c>
      <c r="F154" s="537" t="s">
        <v>1481</v>
      </c>
    </row>
    <row r="155" spans="1:6" s="538" customFormat="1" x14ac:dyDescent="0.25">
      <c r="A155" s="549" t="str">
        <f t="shared" si="6"/>
        <v>04-D-150</v>
      </c>
      <c r="B155" s="788" t="str">
        <f t="shared" ca="1" si="8"/>
        <v>geen enkele keer winst / verlies voorspeld</v>
      </c>
      <c r="C155" s="538" t="s">
        <v>1482</v>
      </c>
      <c r="D155" s="538" t="s">
        <v>1483</v>
      </c>
      <c r="E155" s="538" t="s">
        <v>1484</v>
      </c>
      <c r="F155" s="538" t="s">
        <v>1485</v>
      </c>
    </row>
    <row r="156" spans="1:6" s="537" customFormat="1" x14ac:dyDescent="0.25">
      <c r="A156" s="550" t="str">
        <f t="shared" si="6"/>
        <v>04-D-151</v>
      </c>
      <c r="B156" s="787" t="str">
        <f t="shared" ca="1" si="8"/>
        <v>keer winst/verlies voorspeld</v>
      </c>
      <c r="C156" s="537" t="s">
        <v>1486</v>
      </c>
      <c r="D156" s="537" t="s">
        <v>1487</v>
      </c>
      <c r="E156" s="537" t="s">
        <v>1488</v>
      </c>
      <c r="F156" s="537" t="s">
        <v>1489</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1490</v>
      </c>
      <c r="D159" s="538" t="s">
        <v>1491</v>
      </c>
      <c r="E159" s="538" t="s">
        <v>1492</v>
      </c>
      <c r="F159" s="538" t="s">
        <v>1493</v>
      </c>
    </row>
    <row r="160" spans="1:6" s="537" customFormat="1" x14ac:dyDescent="0.25">
      <c r="A160" s="550" t="str">
        <f t="shared" si="6"/>
        <v>04-D-155</v>
      </c>
      <c r="B160" s="787" t="str">
        <f ca="1">TRIM(INDIRECT(CHAR(64+$C$2)&amp;ROW()))</f>
        <v>Controle Onderdelen</v>
      </c>
      <c r="C160" s="537" t="s">
        <v>1494</v>
      </c>
      <c r="D160" s="537" t="s">
        <v>1495</v>
      </c>
      <c r="E160" s="537" t="s">
        <v>1496</v>
      </c>
      <c r="F160" s="537" t="s">
        <v>1497</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1498</v>
      </c>
      <c r="D162" s="537" t="s">
        <v>1499</v>
      </c>
      <c r="E162" s="537" t="s">
        <v>1500</v>
      </c>
      <c r="F162" s="537" t="s">
        <v>1501</v>
      </c>
    </row>
    <row r="163" spans="1:6" s="538" customFormat="1" x14ac:dyDescent="0.25">
      <c r="A163" s="549" t="str">
        <f t="shared" si="6"/>
        <v>04-D-158</v>
      </c>
      <c r="B163" s="788" t="str">
        <f t="shared" ca="1" si="9"/>
        <v>Het generen van de naamcode is niet mogelijk in verband met het ontbreken van uw naam. Voer uw naam in</v>
      </c>
      <c r="C163" s="538" t="s">
        <v>1502</v>
      </c>
      <c r="D163" s="538" t="s">
        <v>1503</v>
      </c>
      <c r="E163" s="538" t="s">
        <v>1504</v>
      </c>
      <c r="F163" s="538" t="s">
        <v>1505</v>
      </c>
    </row>
    <row r="164" spans="1:6" s="537" customFormat="1" x14ac:dyDescent="0.25">
      <c r="A164" s="550" t="str">
        <f t="shared" ref="A164:A233" si="10">LEFT(A163,5)&amp;RIGHT("000"&amp;RIGHT(A163,3)*1+1,3)</f>
        <v>04-D-159</v>
      </c>
      <c r="B164" s="787" t="str">
        <f t="shared" ca="1" si="9"/>
        <v>bovenaan het werkblad "Groepswedstrijden".</v>
      </c>
      <c r="C164" s="537" t="s">
        <v>1506</v>
      </c>
      <c r="D164" s="537" t="s">
        <v>1507</v>
      </c>
      <c r="E164" s="537" t="s">
        <v>1508</v>
      </c>
      <c r="F164" s="537" t="s">
        <v>1509</v>
      </c>
    </row>
    <row r="165" spans="1:6" s="538" customFormat="1" x14ac:dyDescent="0.25">
      <c r="A165" s="549" t="str">
        <f t="shared" si="10"/>
        <v>04-D-160</v>
      </c>
      <c r="B165" s="788" t="str">
        <f t="shared" ca="1" si="9"/>
        <v>Het generen van de naamcode is niet mogelijk in verband met het ontbreken van uw e-mailadres. Voer uw</v>
      </c>
      <c r="C165" s="538" t="s">
        <v>1510</v>
      </c>
      <c r="D165" s="538" t="s">
        <v>1511</v>
      </c>
      <c r="E165" s="538" t="s">
        <v>1512</v>
      </c>
      <c r="F165" s="538" t="s">
        <v>1513</v>
      </c>
    </row>
    <row r="166" spans="1:6" s="537" customFormat="1" x14ac:dyDescent="0.25">
      <c r="A166" s="550" t="str">
        <f t="shared" si="10"/>
        <v>04-D-161</v>
      </c>
      <c r="B166" s="787" t="str">
        <f t="shared" ca="1" si="9"/>
        <v>e-mailadres in bovenaan het werkblad "Groepswedstrijden".</v>
      </c>
      <c r="C166" s="537" t="s">
        <v>1514</v>
      </c>
      <c r="D166" s="537" t="s">
        <v>1515</v>
      </c>
      <c r="E166" s="537" t="s">
        <v>1516</v>
      </c>
      <c r="F166" s="537" t="s">
        <v>1517</v>
      </c>
    </row>
    <row r="167" spans="1:6" s="538" customFormat="1" x14ac:dyDescent="0.25">
      <c r="A167" s="549" t="str">
        <f t="shared" si="10"/>
        <v>04-D-162</v>
      </c>
      <c r="B167" s="788" t="str">
        <f t="shared" ca="1" si="9"/>
        <v>Het generen van de naamcode incluslief e-mailadres is niet mogelijk in verband met het ontbreken van</v>
      </c>
      <c r="C167" s="538" t="s">
        <v>1518</v>
      </c>
      <c r="D167" s="538" t="s">
        <v>1519</v>
      </c>
      <c r="E167" s="538" t="s">
        <v>1520</v>
      </c>
      <c r="F167" s="538" t="s">
        <v>1521</v>
      </c>
    </row>
    <row r="168" spans="1:6" s="537" customFormat="1" x14ac:dyDescent="0.25">
      <c r="A168" s="550" t="str">
        <f t="shared" si="10"/>
        <v>04-D-163</v>
      </c>
      <c r="B168" s="787" t="str">
        <f t="shared" ca="1" si="9"/>
        <v>gegevens. Voer uw naam en e-mailadres in bovenaan het werkblad "Groepswedstrijden".</v>
      </c>
      <c r="C168" s="537" t="s">
        <v>1522</v>
      </c>
      <c r="D168" s="537" t="s">
        <v>1523</v>
      </c>
      <c r="E168" s="537" t="s">
        <v>1524</v>
      </c>
      <c r="F168" s="537" t="s">
        <v>1525</v>
      </c>
    </row>
    <row r="169" spans="1:6" s="538" customFormat="1" x14ac:dyDescent="0.25">
      <c r="A169" s="549" t="str">
        <f t="shared" si="10"/>
        <v>04-D-164</v>
      </c>
      <c r="B169" s="788" t="str">
        <f t="shared" ca="1" si="9"/>
        <v>Bij het genereren van de naamcode is er een fout geconstateerd. Controleer uw naam bovenaan het</v>
      </c>
      <c r="C169" s="538" t="s">
        <v>1526</v>
      </c>
      <c r="D169" s="538" t="s">
        <v>1527</v>
      </c>
      <c r="E169" s="538" t="s">
        <v>1528</v>
      </c>
      <c r="F169" s="538" t="s">
        <v>1529</v>
      </c>
    </row>
    <row r="170" spans="1:6" s="537" customFormat="1" x14ac:dyDescent="0.25">
      <c r="A170" s="550" t="str">
        <f t="shared" si="10"/>
        <v>04-D-165</v>
      </c>
      <c r="B170" s="787" t="str">
        <f t="shared" ca="1" si="9"/>
        <v>werkblad "Groepswedstrijden".</v>
      </c>
      <c r="C170" s="537" t="s">
        <v>1530</v>
      </c>
      <c r="D170" s="537" t="s">
        <v>1531</v>
      </c>
      <c r="E170" s="537" t="s">
        <v>1532</v>
      </c>
      <c r="F170" s="537" t="s">
        <v>1533</v>
      </c>
    </row>
    <row r="171" spans="1:6" s="538" customFormat="1" x14ac:dyDescent="0.25">
      <c r="A171" s="549" t="str">
        <f t="shared" si="10"/>
        <v>04-D-166</v>
      </c>
      <c r="B171" s="788" t="str">
        <f t="shared" ca="1" si="9"/>
        <v>Bij het genereren van de naamcode is er een fout geconstateerd. Controleer uw e-mailadres bovenaan het</v>
      </c>
      <c r="C171" s="538" t="s">
        <v>1534</v>
      </c>
      <c r="D171" s="538" t="s">
        <v>1535</v>
      </c>
      <c r="E171" s="538" t="s">
        <v>1536</v>
      </c>
      <c r="F171" s="538" t="s">
        <v>1537</v>
      </c>
    </row>
    <row r="172" spans="1:6" s="537" customFormat="1" x14ac:dyDescent="0.25">
      <c r="A172" s="550" t="str">
        <f t="shared" si="10"/>
        <v>04-D-167</v>
      </c>
      <c r="B172" s="787" t="str">
        <f t="shared" ca="1" si="9"/>
        <v>werkblad "Groepswedstrijden".</v>
      </c>
      <c r="C172" s="537" t="s">
        <v>1530</v>
      </c>
      <c r="D172" s="537" t="s">
        <v>1507</v>
      </c>
      <c r="E172" s="537" t="s">
        <v>1508</v>
      </c>
      <c r="F172" s="537" t="s">
        <v>1533</v>
      </c>
    </row>
    <row r="173" spans="1:6" s="538" customFormat="1" x14ac:dyDescent="0.25">
      <c r="A173" s="549" t="str">
        <f t="shared" si="10"/>
        <v>04-D-168</v>
      </c>
      <c r="B173" s="788" t="str">
        <f t="shared" ca="1" si="9"/>
        <v>Bij het genereren van de naamcode met e-mailadres is er een fout geconstateerd. Controleer uw naam en</v>
      </c>
      <c r="C173" s="538" t="s">
        <v>1538</v>
      </c>
      <c r="D173" s="538" t="s">
        <v>1539</v>
      </c>
      <c r="E173" s="538" t="s">
        <v>1540</v>
      </c>
      <c r="F173" s="538" t="s">
        <v>1541</v>
      </c>
    </row>
    <row r="174" spans="1:6" s="537" customFormat="1" x14ac:dyDescent="0.25">
      <c r="A174" s="550" t="str">
        <f t="shared" si="10"/>
        <v>04-D-169</v>
      </c>
      <c r="B174" s="787" t="str">
        <f t="shared" ca="1" si="9"/>
        <v>e-mailadres bovenaan het werkblad "Groepswedstrijden".</v>
      </c>
      <c r="C174" s="537" t="s">
        <v>1542</v>
      </c>
      <c r="D174" s="537" t="s">
        <v>1543</v>
      </c>
      <c r="E174" s="537" t="s">
        <v>1544</v>
      </c>
      <c r="F174" s="537" t="s">
        <v>1517</v>
      </c>
    </row>
    <row r="175" spans="1:6" s="538" customFormat="1" x14ac:dyDescent="0.25">
      <c r="A175" s="549" t="str">
        <f t="shared" si="10"/>
        <v>04-D-170</v>
      </c>
      <c r="B175" s="788" t="str">
        <f t="shared" ca="1" si="9"/>
        <v>De naamcode is zonder foutmeldingen gegenereerd.</v>
      </c>
      <c r="C175" s="538" t="s">
        <v>1545</v>
      </c>
      <c r="D175" s="538" t="s">
        <v>1546</v>
      </c>
      <c r="E175" s="538" t="s">
        <v>1547</v>
      </c>
      <c r="F175" s="538" t="s">
        <v>1548</v>
      </c>
    </row>
    <row r="176" spans="1:6" s="537" customFormat="1" x14ac:dyDescent="0.25">
      <c r="A176" s="550" t="str">
        <f t="shared" si="10"/>
        <v>04-D-171</v>
      </c>
      <c r="B176" s="787" t="str">
        <f t="shared" ca="1" si="9"/>
        <v>De naamcode inclusief e-mailadres is zonder foutmeldingen gegenereerd.</v>
      </c>
      <c r="C176" s="537" t="s">
        <v>1549</v>
      </c>
      <c r="D176" s="537" t="s">
        <v>1550</v>
      </c>
      <c r="E176" s="537" t="s">
        <v>1551</v>
      </c>
      <c r="F176" s="537" t="s">
        <v>1552</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1553</v>
      </c>
      <c r="D178" s="537" t="s">
        <v>1554</v>
      </c>
      <c r="E178" s="537" t="s">
        <v>1555</v>
      </c>
      <c r="F178" s="537" t="s">
        <v>1556</v>
      </c>
    </row>
    <row r="179" spans="1:6" s="538" customFormat="1" x14ac:dyDescent="0.25">
      <c r="A179" s="549" t="str">
        <f t="shared" si="10"/>
        <v>04-D-174</v>
      </c>
      <c r="B179" s="788" t="str">
        <f t="shared" ca="1" si="9"/>
        <v>Het genereren van de deelnamecode voor de groepswedstrijden is niet mogelijk in verband met het ontbreken</v>
      </c>
      <c r="C179" s="538" t="s">
        <v>1557</v>
      </c>
      <c r="D179" s="538" t="s">
        <v>1558</v>
      </c>
      <c r="E179" s="538" t="s">
        <v>1559</v>
      </c>
      <c r="F179" s="538" t="s">
        <v>1560</v>
      </c>
    </row>
    <row r="180" spans="1:6" s="537" customFormat="1" x14ac:dyDescent="0.25">
      <c r="A180" s="550" t="str">
        <f t="shared" si="10"/>
        <v>04-D-175</v>
      </c>
      <c r="B180" s="787" t="str">
        <f t="shared" ca="1" si="9"/>
        <v>van gegevens. Controleer of alle velden zijn ingevuld op het werkblad "Groepswedstrijden".</v>
      </c>
      <c r="C180" s="537" t="s">
        <v>1561</v>
      </c>
      <c r="D180" s="537" t="s">
        <v>1562</v>
      </c>
      <c r="E180" s="537" t="s">
        <v>1563</v>
      </c>
      <c r="F180" s="537" t="s">
        <v>1564</v>
      </c>
    </row>
    <row r="181" spans="1:6" s="538" customFormat="1" x14ac:dyDescent="0.25">
      <c r="A181" s="549" t="str">
        <f t="shared" si="10"/>
        <v>04-D-176</v>
      </c>
      <c r="B181" s="788" t="str">
        <f t="shared" ca="1" si="9"/>
        <v>Bij het genereren van de deelnamecode voor de groepswedstrijden is er een fout geconstateerd. Controleer uw</v>
      </c>
      <c r="C181" s="538" t="s">
        <v>1565</v>
      </c>
      <c r="D181" s="538" t="s">
        <v>1566</v>
      </c>
      <c r="E181" s="538" t="s">
        <v>1567</v>
      </c>
      <c r="F181" s="538" t="s">
        <v>1568</v>
      </c>
    </row>
    <row r="182" spans="1:6" s="537" customFormat="1" x14ac:dyDescent="0.25">
      <c r="A182" s="550" t="str">
        <f t="shared" si="10"/>
        <v>04-D-177</v>
      </c>
      <c r="B182" s="787" t="str">
        <f t="shared" ca="1" si="9"/>
        <v>invoer op het werkblad "Groepswedstrijden".</v>
      </c>
      <c r="C182" s="537" t="s">
        <v>1569</v>
      </c>
      <c r="D182" s="537" t="s">
        <v>1570</v>
      </c>
      <c r="E182" s="537" t="s">
        <v>1571</v>
      </c>
      <c r="F182" s="537" t="s">
        <v>1572</v>
      </c>
    </row>
    <row r="183" spans="1:6" s="538" customFormat="1" x14ac:dyDescent="0.25">
      <c r="A183" s="549" t="str">
        <f t="shared" si="10"/>
        <v>04-D-178</v>
      </c>
      <c r="B183" s="788" t="str">
        <f t="shared" ca="1" si="9"/>
        <v>Bij het genereren van de deelnamecode voor de groepswedstrijden zijn er fouten geconstateerd. Controleer uw</v>
      </c>
      <c r="C183" s="538" t="s">
        <v>1573</v>
      </c>
      <c r="D183" s="538" t="s">
        <v>1574</v>
      </c>
      <c r="E183" s="538" t="s">
        <v>1575</v>
      </c>
      <c r="F183" s="538" t="s">
        <v>1576</v>
      </c>
    </row>
    <row r="184" spans="1:6" s="537" customFormat="1" x14ac:dyDescent="0.25">
      <c r="A184" s="550" t="str">
        <f t="shared" si="10"/>
        <v>04-D-179</v>
      </c>
      <c r="B184" s="787" t="str">
        <f t="shared" ca="1" si="9"/>
        <v>invoer op het werkblad "Groepswedstrijden".</v>
      </c>
      <c r="C184" s="537" t="s">
        <v>1569</v>
      </c>
      <c r="D184" s="537" t="s">
        <v>1577</v>
      </c>
      <c r="E184" s="537" t="s">
        <v>1578</v>
      </c>
      <c r="F184" s="537" t="s">
        <v>1579</v>
      </c>
    </row>
    <row r="185" spans="1:6" s="538" customFormat="1" x14ac:dyDescent="0.25">
      <c r="A185" s="549" t="str">
        <f t="shared" si="10"/>
        <v>04-D-180</v>
      </c>
      <c r="B185" s="788" t="str">
        <f t="shared" ca="1" si="9"/>
        <v>De deelnamecode voor de groepswedstrijden is zonder foutmeldingen gegenereerd.</v>
      </c>
      <c r="C185" s="538" t="s">
        <v>1580</v>
      </c>
      <c r="D185" s="538" t="s">
        <v>1581</v>
      </c>
      <c r="E185" s="538" t="s">
        <v>1582</v>
      </c>
      <c r="F185" s="538" t="s">
        <v>1583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1584</v>
      </c>
      <c r="D187" s="538" t="s">
        <v>1585</v>
      </c>
      <c r="E187" s="538" t="s">
        <v>1586</v>
      </c>
      <c r="F187" s="538" t="s">
        <v>1587</v>
      </c>
    </row>
    <row r="188" spans="1:6" s="537" customFormat="1" x14ac:dyDescent="0.25">
      <c r="A188" s="550" t="str">
        <f t="shared" si="10"/>
        <v>04-D-183</v>
      </c>
      <c r="B188" s="787" t="str">
        <f t="shared" ca="1" si="9"/>
        <v>Het genereren van de deelnamecode voor de eindstand in de groep is niet mogelijk in verband met het</v>
      </c>
      <c r="C188" s="537" t="s">
        <v>1588</v>
      </c>
      <c r="D188" s="537" t="s">
        <v>1589</v>
      </c>
      <c r="E188" s="537" t="s">
        <v>1590</v>
      </c>
      <c r="F188" s="537" t="s">
        <v>1591</v>
      </c>
    </row>
    <row r="189" spans="1:6" s="538" customFormat="1" x14ac:dyDescent="0.25">
      <c r="A189" s="549" t="str">
        <f t="shared" si="10"/>
        <v>04-D-184</v>
      </c>
      <c r="B189" s="788" t="str">
        <f t="shared" ca="1" si="9"/>
        <v>ontbreken van gegevens. Controleer of alle velden zijn ingevuld op het werkblad "Eindstand Groep".</v>
      </c>
      <c r="C189" s="538" t="s">
        <v>1592</v>
      </c>
      <c r="D189" s="538" t="s">
        <v>1593</v>
      </c>
      <c r="E189" s="538" t="s">
        <v>1594</v>
      </c>
      <c r="F189" s="538" t="s">
        <v>1595</v>
      </c>
    </row>
    <row r="190" spans="1:6" s="537" customFormat="1" x14ac:dyDescent="0.25">
      <c r="A190" s="550" t="str">
        <f t="shared" si="10"/>
        <v>04-D-185</v>
      </c>
      <c r="B190" s="787" t="str">
        <f t="shared" ca="1" si="9"/>
        <v>Bij het genereren van de deelnamecode voor de eindstand in de groep is er een fout geconstateerd.</v>
      </c>
      <c r="C190" s="537" t="s">
        <v>1596</v>
      </c>
      <c r="D190" s="537" t="s">
        <v>1597</v>
      </c>
      <c r="E190" s="537" t="s">
        <v>1598</v>
      </c>
      <c r="F190" s="537" t="s">
        <v>1599</v>
      </c>
    </row>
    <row r="191" spans="1:6" s="538" customFormat="1" x14ac:dyDescent="0.25">
      <c r="A191" s="549" t="str">
        <f t="shared" si="10"/>
        <v>04-D-186</v>
      </c>
      <c r="B191" s="788" t="str">
        <f t="shared" ca="1" si="9"/>
        <v>Controleer uw invoer op het werkblad "Eindstand Groep".</v>
      </c>
      <c r="C191" s="538" t="s">
        <v>1600</v>
      </c>
      <c r="D191" s="538" t="s">
        <v>1601</v>
      </c>
      <c r="E191" s="538" t="s">
        <v>1602</v>
      </c>
      <c r="F191" s="538" t="s">
        <v>1603</v>
      </c>
    </row>
    <row r="192" spans="1:6" s="537" customFormat="1" x14ac:dyDescent="0.25">
      <c r="A192" s="550" t="str">
        <f t="shared" si="10"/>
        <v>04-D-187</v>
      </c>
      <c r="B192" s="787" t="str">
        <f t="shared" ca="1" si="9"/>
        <v>Bij het genereren van de deelnamecode voor de eindstand in de groep zijn er fouten geconstateerd.</v>
      </c>
      <c r="C192" s="537" t="s">
        <v>1604</v>
      </c>
      <c r="D192" s="537" t="s">
        <v>1605</v>
      </c>
      <c r="E192" s="537" t="s">
        <v>1606</v>
      </c>
      <c r="F192" s="537" t="s">
        <v>1607</v>
      </c>
    </row>
    <row r="193" spans="1:6" s="538" customFormat="1" x14ac:dyDescent="0.25">
      <c r="A193" s="549" t="str">
        <f t="shared" si="10"/>
        <v>04-D-188</v>
      </c>
      <c r="B193" s="788" t="str">
        <f t="shared" ca="1" si="9"/>
        <v>Controleer uw invoer op het werkblad "Eindstand Groep".</v>
      </c>
      <c r="C193" s="538" t="s">
        <v>1600</v>
      </c>
      <c r="D193" s="538" t="s">
        <v>1608</v>
      </c>
      <c r="E193" s="538" t="s">
        <v>1609</v>
      </c>
      <c r="F193" s="538" t="s">
        <v>1610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1611</v>
      </c>
      <c r="D194" s="537" t="s">
        <v>1612</v>
      </c>
      <c r="E194" s="537" t="s">
        <v>1613</v>
      </c>
      <c r="F194" s="537" t="s">
        <v>1614</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1615</v>
      </c>
      <c r="D196" s="537" t="s">
        <v>1616</v>
      </c>
      <c r="E196" s="537" t="s">
        <v>1617</v>
      </c>
      <c r="F196" s="537" t="s">
        <v>1618</v>
      </c>
    </row>
    <row r="197" spans="1:6" s="538" customFormat="1" x14ac:dyDescent="0.25">
      <c r="A197" s="549" t="str">
        <f t="shared" si="10"/>
        <v>04-D-192</v>
      </c>
      <c r="B197" s="788" t="str">
        <f t="shared" ca="1" si="11"/>
        <v>Het genereren van de deelnamecode voor de finalewedstrijden is niet mogelijk in verband met het ontbreken</v>
      </c>
      <c r="C197" s="538" t="s">
        <v>1619</v>
      </c>
      <c r="D197" s="538" t="s">
        <v>1620</v>
      </c>
      <c r="E197" s="538" t="s">
        <v>1621</v>
      </c>
      <c r="F197" s="538" t="s">
        <v>1622</v>
      </c>
    </row>
    <row r="198" spans="1:6" s="537" customFormat="1" x14ac:dyDescent="0.25">
      <c r="A198" s="550" t="str">
        <f t="shared" si="10"/>
        <v>04-D-193</v>
      </c>
      <c r="B198" s="787" t="str">
        <f t="shared" ca="1" si="11"/>
        <v>van gegevens. Controleer of alle velden zijn ingevuld op het werkblad "Finalewedstrijden".</v>
      </c>
      <c r="C198" s="537" t="s">
        <v>1623</v>
      </c>
      <c r="D198" s="537" t="s">
        <v>1624</v>
      </c>
      <c r="E198" s="537" t="s">
        <v>1625</v>
      </c>
      <c r="F198" s="537" t="s">
        <v>1626</v>
      </c>
    </row>
    <row r="199" spans="1:6" s="538" customFormat="1" x14ac:dyDescent="0.25">
      <c r="A199" s="549" t="str">
        <f t="shared" si="10"/>
        <v>04-D-194</v>
      </c>
      <c r="B199" s="788" t="str">
        <f t="shared" ca="1" si="11"/>
        <v>Bij het genereren van de deelnamecode voor de finalewedstrijden is er een fout geconstateerd. Controleer uw</v>
      </c>
      <c r="C199" s="538" t="s">
        <v>1627</v>
      </c>
      <c r="D199" s="538" t="s">
        <v>1628</v>
      </c>
      <c r="E199" s="538" t="s">
        <v>1629</v>
      </c>
      <c r="F199" s="538" t="s">
        <v>1630</v>
      </c>
    </row>
    <row r="200" spans="1:6" s="537" customFormat="1" x14ac:dyDescent="0.25">
      <c r="A200" s="550" t="str">
        <f t="shared" si="10"/>
        <v>04-D-195</v>
      </c>
      <c r="B200" s="787" t="str">
        <f t="shared" ca="1" si="11"/>
        <v>invoer op het werkblad "Finalewedstrijden".</v>
      </c>
      <c r="C200" s="537" t="s">
        <v>1631</v>
      </c>
      <c r="D200" s="537" t="s">
        <v>1632</v>
      </c>
      <c r="E200" s="537" t="s">
        <v>1633</v>
      </c>
      <c r="F200" s="537" t="s">
        <v>1634</v>
      </c>
    </row>
    <row r="201" spans="1:6" s="538" customFormat="1" x14ac:dyDescent="0.25">
      <c r="A201" s="549" t="str">
        <f t="shared" si="10"/>
        <v>04-D-196</v>
      </c>
      <c r="B201" s="788" t="str">
        <f t="shared" ca="1" si="11"/>
        <v>Bij het genereren van de deelnamecode voor de finalewedstrijden zijn er fouten geconstateerd. Controleer uw</v>
      </c>
      <c r="C201" s="538" t="s">
        <v>1635</v>
      </c>
      <c r="D201" s="538" t="s">
        <v>1636</v>
      </c>
      <c r="E201" s="538" t="s">
        <v>1637</v>
      </c>
      <c r="F201" s="538" t="s">
        <v>1638</v>
      </c>
    </row>
    <row r="202" spans="1:6" s="537" customFormat="1" x14ac:dyDescent="0.25">
      <c r="A202" s="550" t="str">
        <f t="shared" si="10"/>
        <v>04-D-197</v>
      </c>
      <c r="B202" s="787" t="str">
        <f t="shared" ca="1" si="11"/>
        <v>invoer op het werkblad "Finalewedstrijden".</v>
      </c>
      <c r="C202" s="537" t="s">
        <v>1631</v>
      </c>
      <c r="D202" s="537" t="s">
        <v>1639</v>
      </c>
      <c r="E202" s="537" t="s">
        <v>1640</v>
      </c>
      <c r="F202" s="537" t="s">
        <v>1634</v>
      </c>
    </row>
    <row r="203" spans="1:6" s="538" customFormat="1" x14ac:dyDescent="0.25">
      <c r="A203" s="549" t="str">
        <f t="shared" si="10"/>
        <v>04-D-198</v>
      </c>
      <c r="B203" s="788" t="str">
        <f t="shared" ca="1" si="11"/>
        <v>De deelnamecode voor de finalewedstrijden is zonder foutmeldingen gegenereerd.</v>
      </c>
      <c r="C203" s="538" t="s">
        <v>1641</v>
      </c>
      <c r="D203" s="538" t="s">
        <v>1642</v>
      </c>
      <c r="E203" s="538" t="s">
        <v>1643</v>
      </c>
      <c r="F203" s="538" t="s">
        <v>1644</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1645</v>
      </c>
      <c r="D205" s="538" t="s">
        <v>1646</v>
      </c>
      <c r="E205" s="538" t="s">
        <v>1647</v>
      </c>
      <c r="F205" s="538" t="s">
        <v>1648</v>
      </c>
    </row>
    <row r="206" spans="1:6" s="537" customFormat="1" x14ac:dyDescent="0.25">
      <c r="A206" s="550" t="str">
        <f t="shared" si="10"/>
        <v>04-D-201</v>
      </c>
      <c r="B206" s="787" t="str">
        <f t="shared" ca="1" si="11"/>
        <v>Het genereren van de deelnamecode voor de winnaar van het EK is niet mogelijk in verband met het ontbreken</v>
      </c>
      <c r="C206" s="537" t="s">
        <v>1649</v>
      </c>
      <c r="D206" s="537" t="s">
        <v>1650</v>
      </c>
      <c r="E206" s="537" t="s">
        <v>1651</v>
      </c>
      <c r="F206" s="537" t="s">
        <v>1652</v>
      </c>
    </row>
    <row r="207" spans="1:6" s="538" customFormat="1" x14ac:dyDescent="0.25">
      <c r="A207" s="549" t="str">
        <f t="shared" si="10"/>
        <v>04-D-202</v>
      </c>
      <c r="B207" s="788" t="str">
        <f t="shared" ca="1" si="11"/>
        <v>van gegevens. Voorspel de winnaar van het EK op het werkblad "Finalewedstrijden".</v>
      </c>
      <c r="C207" s="538" t="s">
        <v>1653</v>
      </c>
      <c r="D207" s="538" t="s">
        <v>1654</v>
      </c>
      <c r="E207" s="538" t="s">
        <v>1655</v>
      </c>
      <c r="F207" s="538" t="s">
        <v>1656</v>
      </c>
    </row>
    <row r="208" spans="1:6" s="537" customFormat="1" x14ac:dyDescent="0.25">
      <c r="A208" s="550" t="str">
        <f t="shared" si="10"/>
        <v>04-D-203</v>
      </c>
      <c r="B208" s="787" t="str">
        <f t="shared" ca="1" si="11"/>
        <v>Bij het genereren van de deelnamecode voor de winnaar van het EK is er een fout geconstateerd. Controleer</v>
      </c>
      <c r="C208" s="537" t="s">
        <v>1657</v>
      </c>
      <c r="D208" s="537" t="s">
        <v>1658</v>
      </c>
      <c r="E208" s="537" t="s">
        <v>1659</v>
      </c>
      <c r="F208" s="537" t="s">
        <v>1660</v>
      </c>
    </row>
    <row r="209" spans="1:6" s="538" customFormat="1" x14ac:dyDescent="0.25">
      <c r="A209" s="549" t="str">
        <f t="shared" si="10"/>
        <v>04-D-204</v>
      </c>
      <c r="B209" s="788" t="str">
        <f t="shared" ca="1" si="11"/>
        <v>uw invoer op het werkblad "Finalewedstrijden".</v>
      </c>
      <c r="C209" s="538" t="s">
        <v>1661</v>
      </c>
      <c r="D209" s="538" t="s">
        <v>1662</v>
      </c>
      <c r="E209" s="538" t="s">
        <v>1663</v>
      </c>
      <c r="F209" s="538" t="s">
        <v>1664</v>
      </c>
    </row>
    <row r="210" spans="1:6" s="537" customFormat="1" x14ac:dyDescent="0.25">
      <c r="A210" s="550" t="str">
        <f t="shared" si="10"/>
        <v>04-D-205</v>
      </c>
      <c r="B210" s="787" t="str">
        <f t="shared" ca="1" si="11"/>
        <v>De deelnamecode voor de winnaar van het EK is zonder foutmeldingen gegenereerd.</v>
      </c>
      <c r="C210" s="537" t="s">
        <v>1665</v>
      </c>
      <c r="D210" s="537" t="s">
        <v>1666</v>
      </c>
      <c r="E210" s="537" t="s">
        <v>1667</v>
      </c>
      <c r="F210" s="537" t="s">
        <v>1668</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123</v>
      </c>
      <c r="D212" s="537" t="s">
        <v>1669</v>
      </c>
      <c r="E212" s="537" t="s">
        <v>125</v>
      </c>
      <c r="F212" s="537" t="s">
        <v>1011</v>
      </c>
    </row>
    <row r="213" spans="1:6" s="538" customFormat="1" x14ac:dyDescent="0.25">
      <c r="A213" s="549" t="str">
        <f t="shared" si="10"/>
        <v>04-D-208</v>
      </c>
      <c r="B213" s="788" t="str">
        <f t="shared" ca="1" si="11"/>
        <v>Het genereren van de deelnamecode voor de bonusvragen is niet mogelijk in verband met het ontbreken</v>
      </c>
      <c r="C213" s="538" t="s">
        <v>1670</v>
      </c>
      <c r="D213" s="538" t="s">
        <v>1671</v>
      </c>
      <c r="E213" s="538" t="s">
        <v>1672</v>
      </c>
      <c r="F213" s="538" t="s">
        <v>1673</v>
      </c>
    </row>
    <row r="214" spans="1:6" s="537" customFormat="1" x14ac:dyDescent="0.25">
      <c r="A214" s="550" t="str">
        <f t="shared" si="10"/>
        <v>04-D-209</v>
      </c>
      <c r="B214" s="787" t="str">
        <f t="shared" ca="1" si="11"/>
        <v>van gegevens. Controleer of alle velden zijn ingevuld op het werkblad "Bonusvragen".</v>
      </c>
      <c r="C214" s="537" t="s">
        <v>1674</v>
      </c>
      <c r="D214" s="537" t="s">
        <v>1675</v>
      </c>
      <c r="E214" s="537" t="s">
        <v>1676</v>
      </c>
      <c r="F214" s="537" t="s">
        <v>1677</v>
      </c>
    </row>
    <row r="215" spans="1:6" s="538" customFormat="1" x14ac:dyDescent="0.25">
      <c r="A215" s="549" t="str">
        <f t="shared" si="10"/>
        <v>04-D-210</v>
      </c>
      <c r="B215" s="788" t="str">
        <f t="shared" ca="1" si="11"/>
        <v>Bij het genereren van de deelnamecode voor de bonusvragen is er een fout geconstateerd. Controleer uw</v>
      </c>
      <c r="C215" s="538" t="s">
        <v>1678</v>
      </c>
      <c r="D215" s="538" t="s">
        <v>1679</v>
      </c>
      <c r="E215" s="538" t="s">
        <v>1680</v>
      </c>
      <c r="F215" s="538" t="s">
        <v>1681</v>
      </c>
    </row>
    <row r="216" spans="1:6" s="537" customFormat="1" x14ac:dyDescent="0.25">
      <c r="A216" s="550" t="str">
        <f t="shared" si="10"/>
        <v>04-D-211</v>
      </c>
      <c r="B216" s="787" t="str">
        <f t="shared" ca="1" si="11"/>
        <v>invoer op het werkblad "Bonusvragen".</v>
      </c>
      <c r="C216" s="537" t="s">
        <v>1682</v>
      </c>
      <c r="D216" s="537" t="s">
        <v>1683</v>
      </c>
      <c r="E216" s="537" t="s">
        <v>1684</v>
      </c>
      <c r="F216" s="537" t="s">
        <v>1685</v>
      </c>
    </row>
    <row r="217" spans="1:6" s="538" customFormat="1" x14ac:dyDescent="0.25">
      <c r="A217" s="549" t="str">
        <f t="shared" si="10"/>
        <v>04-D-212</v>
      </c>
      <c r="B217" s="788" t="str">
        <f t="shared" ca="1" si="11"/>
        <v>Bij het genereren van de deelnamecode voor de bonusvragen zijn er fouten geconstateerd. Controleer uw</v>
      </c>
      <c r="C217" s="538" t="s">
        <v>1686</v>
      </c>
      <c r="D217" s="538" t="s">
        <v>1687</v>
      </c>
      <c r="E217" s="538" t="s">
        <v>1688</v>
      </c>
      <c r="F217" s="538" t="s">
        <v>1689</v>
      </c>
    </row>
    <row r="218" spans="1:6" s="537" customFormat="1" x14ac:dyDescent="0.25">
      <c r="A218" s="550" t="str">
        <f t="shared" si="10"/>
        <v>04-D-213</v>
      </c>
      <c r="B218" s="787" t="str">
        <f t="shared" ca="1" si="11"/>
        <v>invoer op het werkblad "Bonusvragen".</v>
      </c>
      <c r="C218" s="537" t="s">
        <v>1682</v>
      </c>
      <c r="D218" s="537" t="s">
        <v>1690</v>
      </c>
      <c r="E218" s="537" t="s">
        <v>1691</v>
      </c>
      <c r="F218" s="537" t="s">
        <v>1685</v>
      </c>
    </row>
    <row r="219" spans="1:6" s="538" customFormat="1" x14ac:dyDescent="0.25">
      <c r="A219" s="549" t="str">
        <f t="shared" si="10"/>
        <v>04-D-214</v>
      </c>
      <c r="B219" s="788" t="str">
        <f t="shared" ca="1" si="11"/>
        <v>De deelnamecode voor de bonusvragen is zonder foutmeldingen gegenereerd.</v>
      </c>
      <c r="C219" s="538" t="s">
        <v>1692</v>
      </c>
      <c r="D219" s="538" t="s">
        <v>1693</v>
      </c>
      <c r="E219" s="538" t="s">
        <v>1694</v>
      </c>
      <c r="F219" s="538" t="s">
        <v>1695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178</v>
      </c>
      <c r="D221" s="538" t="s">
        <v>178</v>
      </c>
      <c r="E221" s="538" t="s">
        <v>178</v>
      </c>
      <c r="F221" s="538" t="s">
        <v>1012</v>
      </c>
    </row>
    <row r="222" spans="1:6" s="537" customFormat="1" x14ac:dyDescent="0.25">
      <c r="A222" s="550" t="str">
        <f t="shared" si="13"/>
        <v>04-D-217</v>
      </c>
      <c r="B222" s="787" t="str">
        <f t="shared" ca="1" si="12"/>
        <v>Er zijn onvoldoende teams geselecteerd om een deelnamecode te genereren.</v>
      </c>
      <c r="C222" s="537" t="s">
        <v>1696</v>
      </c>
      <c r="D222" s="537" t="s">
        <v>1697</v>
      </c>
      <c r="E222" s="537" t="s">
        <v>1698</v>
      </c>
      <c r="F222" s="537" t="s">
        <v>1699</v>
      </c>
    </row>
    <row r="223" spans="1:6" s="538" customFormat="1" x14ac:dyDescent="0.25">
      <c r="A223" s="549" t="str">
        <f t="shared" si="13"/>
        <v>04-D-218</v>
      </c>
      <c r="B223" s="788" t="str">
        <f t="shared" ca="1" si="12"/>
        <v>Er zijn teveel teams geselecteerd om een deelnamecode te genereren.</v>
      </c>
      <c r="C223" s="538" t="s">
        <v>1700</v>
      </c>
      <c r="D223" s="538" t="s">
        <v>1701</v>
      </c>
      <c r="E223" s="538" t="s">
        <v>1702</v>
      </c>
      <c r="F223" s="538" t="s">
        <v>1703</v>
      </c>
    </row>
    <row r="224" spans="1:6" s="537" customFormat="1" x14ac:dyDescent="0.25">
      <c r="A224" s="550" t="str">
        <f t="shared" si="13"/>
        <v>04-D-219</v>
      </c>
      <c r="B224" s="787" t="str">
        <f t="shared" ca="1" si="12"/>
        <v>Controleer het aantal geselecteerde teams op het werkblad "Teams".</v>
      </c>
      <c r="C224" s="537" t="s">
        <v>1704</v>
      </c>
      <c r="D224" s="537" t="s">
        <v>1705</v>
      </c>
      <c r="E224" s="537" t="s">
        <v>1706</v>
      </c>
      <c r="F224" s="537" t="s">
        <v>1707</v>
      </c>
    </row>
    <row r="225" spans="1:6" s="538" customFormat="1" x14ac:dyDescent="0.25">
      <c r="A225" s="549" t="str">
        <f t="shared" si="13"/>
        <v>04-D-220</v>
      </c>
      <c r="B225" s="788" t="str">
        <f t="shared" ca="1" si="12"/>
        <v>Bij het genereren van de deelnamecode voor de teams is er een fout geconstateerd.</v>
      </c>
      <c r="C225" s="538" t="s">
        <v>1708</v>
      </c>
      <c r="D225" s="538" t="s">
        <v>1709</v>
      </c>
      <c r="E225" s="538" t="s">
        <v>1710</v>
      </c>
      <c r="F225" s="538" t="s">
        <v>1711</v>
      </c>
    </row>
    <row r="226" spans="1:6" s="537" customFormat="1" x14ac:dyDescent="0.25">
      <c r="A226" s="550" t="str">
        <f t="shared" si="13"/>
        <v>04-D-221</v>
      </c>
      <c r="B226" s="787" t="str">
        <f t="shared" ca="1" si="12"/>
        <v>Controleer uw selectie van de teams op het werkblad "Teams".</v>
      </c>
      <c r="C226" s="537" t="s">
        <v>1712</v>
      </c>
      <c r="D226" s="537" t="s">
        <v>1713</v>
      </c>
      <c r="E226" s="537" t="s">
        <v>1714</v>
      </c>
      <c r="F226" s="537" t="s">
        <v>1715</v>
      </c>
    </row>
    <row r="227" spans="1:6" s="538" customFormat="1" x14ac:dyDescent="0.25">
      <c r="A227" s="549" t="str">
        <f t="shared" si="13"/>
        <v>04-D-222</v>
      </c>
      <c r="B227" s="788" t="str">
        <f t="shared" ca="1" si="12"/>
        <v>Er zijn voldoende teams geselecteerd om een deelnamecode te genereren.</v>
      </c>
      <c r="C227" s="538" t="s">
        <v>1716</v>
      </c>
      <c r="D227" s="538" t="s">
        <v>1717</v>
      </c>
      <c r="E227" s="538" t="s">
        <v>1718</v>
      </c>
      <c r="F227" s="538" t="s">
        <v>1719</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1720</v>
      </c>
      <c r="D229" s="538" t="s">
        <v>1721</v>
      </c>
      <c r="E229" s="538" t="s">
        <v>1722</v>
      </c>
      <c r="F229" s="538" t="s">
        <v>1723</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1724</v>
      </c>
      <c r="D230" s="537" t="s">
        <v>1725</v>
      </c>
      <c r="E230" s="537" t="s">
        <v>1726</v>
      </c>
      <c r="F230" s="537" t="s">
        <v>1727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1728</v>
      </c>
      <c r="D231" s="538" t="s">
        <v>1729</v>
      </c>
      <c r="E231" s="538" t="s">
        <v>1730</v>
      </c>
      <c r="F231" s="538" t="s">
        <v>1731</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1732</v>
      </c>
      <c r="D232" s="537" t="s">
        <v>1733</v>
      </c>
      <c r="E232" s="537" t="s">
        <v>1734</v>
      </c>
      <c r="F232" s="537" t="s">
        <v>1735</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1736</v>
      </c>
      <c r="D233" s="538" t="s">
        <v>1737</v>
      </c>
      <c r="E233" s="538" t="s">
        <v>1738</v>
      </c>
      <c r="F233" s="538" t="s">
        <v>1739</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1740</v>
      </c>
      <c r="D235" s="563" t="s">
        <v>1741</v>
      </c>
      <c r="E235" s="563" t="s">
        <v>1742</v>
      </c>
      <c r="F235" s="563" t="s">
        <v>1012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1743</v>
      </c>
      <c r="D236" s="537" t="s">
        <v>1744</v>
      </c>
      <c r="E236" s="537" t="s">
        <v>1745</v>
      </c>
      <c r="F236" s="537" t="s">
        <v>1746</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1747</v>
      </c>
      <c r="D237" s="538" t="s">
        <v>1748</v>
      </c>
      <c r="E237" s="538" t="s">
        <v>1749</v>
      </c>
      <c r="F237" s="538" t="s">
        <v>1750</v>
      </c>
    </row>
    <row r="238" spans="1:6" s="537" customFormat="1" x14ac:dyDescent="0.25">
      <c r="A238" s="550" t="str">
        <f t="shared" si="14"/>
        <v>04-D-233</v>
      </c>
      <c r="B238" s="787" t="str">
        <f t="shared" ca="1" si="15"/>
        <v>Selecteer uit onderstaander lijst minimaal $$$ @@@ waar u als deelnemer toe behoort op basis van de omschrijving.</v>
      </c>
      <c r="C238" s="537" t="s">
        <v>1751</v>
      </c>
      <c r="D238" s="537" t="s">
        <v>1752</v>
      </c>
      <c r="E238" s="537" t="s">
        <v>1753</v>
      </c>
      <c r="F238" s="537" t="s">
        <v>1754</v>
      </c>
    </row>
    <row r="239" spans="1:6" s="538" customFormat="1" x14ac:dyDescent="0.25">
      <c r="A239" s="549" t="str">
        <f t="shared" si="14"/>
        <v>04-D-234</v>
      </c>
      <c r="B239" s="788" t="str">
        <f t="shared" ca="1" si="15"/>
        <v>Selecteer uit onderstaander lijst maximaal ### @@@ waar u als deelnemer toe behoort op basis van de omschrijving.</v>
      </c>
      <c r="C239" s="538" t="s">
        <v>1755</v>
      </c>
      <c r="D239" s="538" t="s">
        <v>1756</v>
      </c>
      <c r="E239" s="538" t="s">
        <v>1757</v>
      </c>
      <c r="F239" s="538" t="s">
        <v>1758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1759</v>
      </c>
      <c r="D240" s="537" t="s">
        <v>1760</v>
      </c>
      <c r="E240" s="537" t="s">
        <v>1761</v>
      </c>
      <c r="F240" s="537" t="s">
        <v>1762</v>
      </c>
    </row>
    <row r="241" spans="1:6" s="538" customFormat="1" x14ac:dyDescent="0.25">
      <c r="A241" s="549" t="str">
        <f t="shared" si="14"/>
        <v>04-D-236</v>
      </c>
      <c r="B241" s="788" t="str">
        <f t="shared" ca="1" si="15"/>
        <v>Selecteer uit onderstaande lijst $$$ @@@ waar u als deelnemer toe behoort op basis van de omschrijving.</v>
      </c>
      <c r="C241" s="538" t="s">
        <v>1763</v>
      </c>
      <c r="D241" s="538" t="s">
        <v>1764</v>
      </c>
      <c r="E241" s="538" t="s">
        <v>1765</v>
      </c>
      <c r="F241" s="538" t="s">
        <v>1766</v>
      </c>
    </row>
    <row r="242" spans="1:6" s="537" customFormat="1" x14ac:dyDescent="0.25">
      <c r="A242" s="550" t="str">
        <f t="shared" si="14"/>
        <v>04-D-237</v>
      </c>
      <c r="B242" s="787" t="str">
        <f t="shared" ca="1" si="15"/>
        <v>één</v>
      </c>
      <c r="C242" s="537" t="s">
        <v>1767</v>
      </c>
      <c r="D242" s="537" t="s">
        <v>1768</v>
      </c>
      <c r="E242" s="537" t="s">
        <v>1769</v>
      </c>
      <c r="F242" s="537" t="s">
        <v>1770</v>
      </c>
    </row>
    <row r="243" spans="1:6" s="538" customFormat="1" x14ac:dyDescent="0.25">
      <c r="A243" s="549" t="str">
        <f t="shared" si="14"/>
        <v>04-D-238</v>
      </c>
      <c r="B243" s="788" t="str">
        <f t="shared" ca="1" si="15"/>
        <v>twee</v>
      </c>
      <c r="C243" s="538" t="s">
        <v>1771</v>
      </c>
      <c r="D243" s="538" t="s">
        <v>1772</v>
      </c>
      <c r="E243" s="538" t="s">
        <v>1773</v>
      </c>
      <c r="F243" s="538" t="s">
        <v>1774</v>
      </c>
    </row>
    <row r="244" spans="1:6" s="537" customFormat="1" x14ac:dyDescent="0.25">
      <c r="A244" s="550" t="str">
        <f t="shared" si="14"/>
        <v>04-D-239</v>
      </c>
      <c r="B244" s="787" t="str">
        <f t="shared" ca="1" si="15"/>
        <v>drie</v>
      </c>
      <c r="C244" s="537" t="s">
        <v>1775</v>
      </c>
      <c r="D244" s="537" t="s">
        <v>1776</v>
      </c>
      <c r="E244" s="537" t="s">
        <v>1777</v>
      </c>
      <c r="F244" s="537" t="s">
        <v>1778</v>
      </c>
    </row>
    <row r="245" spans="1:6" s="538" customFormat="1" x14ac:dyDescent="0.25">
      <c r="A245" s="549" t="str">
        <f t="shared" si="14"/>
        <v>04-D-240</v>
      </c>
      <c r="B245" s="788" t="str">
        <f t="shared" ca="1" si="15"/>
        <v>vier</v>
      </c>
      <c r="C245" s="538" t="s">
        <v>1779</v>
      </c>
      <c r="D245" s="538" t="s">
        <v>1780</v>
      </c>
      <c r="E245" s="538" t="s">
        <v>1779</v>
      </c>
      <c r="F245" s="538" t="s">
        <v>1781</v>
      </c>
    </row>
    <row r="246" spans="1:6" s="537" customFormat="1" x14ac:dyDescent="0.25">
      <c r="A246" s="550" t="str">
        <f t="shared" si="14"/>
        <v>04-D-241</v>
      </c>
      <c r="B246" s="787" t="str">
        <f t="shared" ca="1" si="15"/>
        <v>vijf</v>
      </c>
      <c r="C246" s="537" t="s">
        <v>1782</v>
      </c>
      <c r="D246" s="537" t="s">
        <v>1783</v>
      </c>
      <c r="E246" s="537" t="s">
        <v>1784</v>
      </c>
      <c r="F246" s="537" t="s">
        <v>1785</v>
      </c>
    </row>
    <row r="247" spans="1:6" s="538" customFormat="1" x14ac:dyDescent="0.25">
      <c r="A247" s="549" t="str">
        <f t="shared" si="14"/>
        <v>04-D-242</v>
      </c>
      <c r="B247" s="788" t="str">
        <f t="shared" ca="1" si="15"/>
        <v>zes</v>
      </c>
      <c r="C247" s="538" t="s">
        <v>1786</v>
      </c>
      <c r="D247" s="538" t="s">
        <v>1787</v>
      </c>
      <c r="E247" s="538" t="s">
        <v>1788</v>
      </c>
      <c r="F247" s="538" t="s">
        <v>1789</v>
      </c>
    </row>
    <row r="248" spans="1:6" s="537" customFormat="1" x14ac:dyDescent="0.25">
      <c r="A248" s="550" t="str">
        <f t="shared" si="14"/>
        <v>04-D-243</v>
      </c>
      <c r="B248" s="787" t="str">
        <f t="shared" ca="1" si="15"/>
        <v>zeven</v>
      </c>
      <c r="C248" s="537" t="s">
        <v>1790</v>
      </c>
      <c r="D248" s="537" t="s">
        <v>1791</v>
      </c>
      <c r="E248" s="537" t="s">
        <v>1792</v>
      </c>
      <c r="F248" s="537" t="s">
        <v>1793</v>
      </c>
    </row>
    <row r="249" spans="1:6" s="538" customFormat="1" x14ac:dyDescent="0.25">
      <c r="A249" s="549" t="str">
        <f t="shared" si="14"/>
        <v>04-D-244</v>
      </c>
      <c r="B249" s="788" t="str">
        <f t="shared" ca="1" si="15"/>
        <v>acht</v>
      </c>
      <c r="C249" s="538" t="s">
        <v>1794</v>
      </c>
      <c r="D249" s="538" t="s">
        <v>1795</v>
      </c>
      <c r="E249" s="538" t="s">
        <v>1794</v>
      </c>
      <c r="F249" s="538" t="s">
        <v>1796</v>
      </c>
    </row>
    <row r="250" spans="1:6" s="537" customFormat="1" x14ac:dyDescent="0.25">
      <c r="A250" s="550" t="str">
        <f t="shared" si="14"/>
        <v>04-D-245</v>
      </c>
      <c r="B250" s="787" t="str">
        <f t="shared" ca="1" si="15"/>
        <v>negen</v>
      </c>
      <c r="C250" s="537" t="s">
        <v>1797</v>
      </c>
      <c r="D250" s="537" t="s">
        <v>1798</v>
      </c>
      <c r="E250" s="537" t="s">
        <v>1799</v>
      </c>
      <c r="F250" s="537" t="s">
        <v>1800</v>
      </c>
    </row>
    <row r="251" spans="1:6" s="538" customFormat="1" x14ac:dyDescent="0.25">
      <c r="A251" s="549" t="str">
        <f t="shared" si="14"/>
        <v>04-D-246</v>
      </c>
      <c r="B251" s="788" t="str">
        <f t="shared" ca="1" si="15"/>
        <v>tien</v>
      </c>
      <c r="C251" s="538" t="s">
        <v>1801</v>
      </c>
      <c r="D251" s="538" t="s">
        <v>1802</v>
      </c>
      <c r="E251" s="538" t="s">
        <v>1803</v>
      </c>
      <c r="F251" s="538" t="s">
        <v>1804</v>
      </c>
    </row>
    <row r="252" spans="1:6" s="537" customFormat="1" x14ac:dyDescent="0.25">
      <c r="A252" s="550" t="str">
        <f t="shared" si="14"/>
        <v>04-D-247</v>
      </c>
      <c r="B252" s="787" t="str">
        <f t="shared" ca="1" si="15"/>
        <v>elf</v>
      </c>
      <c r="C252" s="537" t="s">
        <v>1805</v>
      </c>
      <c r="D252" s="537" t="s">
        <v>1805</v>
      </c>
      <c r="E252" s="537" t="s">
        <v>1806</v>
      </c>
      <c r="F252" s="537" t="s">
        <v>1807</v>
      </c>
    </row>
    <row r="253" spans="1:6" s="538" customFormat="1" x14ac:dyDescent="0.25">
      <c r="A253" s="549" t="str">
        <f t="shared" si="14"/>
        <v>04-D-248</v>
      </c>
      <c r="B253" s="788" t="str">
        <f t="shared" ca="1" si="15"/>
        <v>twaalf</v>
      </c>
      <c r="C253" s="538" t="s">
        <v>1808</v>
      </c>
      <c r="D253" s="538" t="s">
        <v>1809</v>
      </c>
      <c r="E253" s="538" t="s">
        <v>1810</v>
      </c>
      <c r="F253" s="538" t="s">
        <v>1811</v>
      </c>
    </row>
    <row r="254" spans="1:6" s="537" customFormat="1" x14ac:dyDescent="0.25">
      <c r="A254" s="550" t="str">
        <f t="shared" si="14"/>
        <v>04-D-249</v>
      </c>
      <c r="B254" s="787" t="str">
        <f t="shared" ca="1" si="15"/>
        <v>dertien</v>
      </c>
      <c r="C254" s="537" t="s">
        <v>1812</v>
      </c>
      <c r="D254" s="537" t="s">
        <v>1813</v>
      </c>
      <c r="E254" s="537" t="s">
        <v>1814</v>
      </c>
      <c r="F254" s="537" t="s">
        <v>1815</v>
      </c>
    </row>
    <row r="255" spans="1:6" s="538" customFormat="1" x14ac:dyDescent="0.25">
      <c r="A255" s="549" t="str">
        <f t="shared" si="14"/>
        <v>04-D-250</v>
      </c>
      <c r="B255" s="788" t="str">
        <f t="shared" ca="1" si="15"/>
        <v>veertien</v>
      </c>
      <c r="C255" s="538" t="s">
        <v>1816</v>
      </c>
      <c r="D255" s="538" t="s">
        <v>1817</v>
      </c>
      <c r="E255" s="538" t="s">
        <v>1818</v>
      </c>
      <c r="F255" s="538" t="s">
        <v>1819</v>
      </c>
    </row>
    <row r="256" spans="1:6" s="537" customFormat="1" x14ac:dyDescent="0.25">
      <c r="A256" s="550" t="str">
        <f t="shared" si="14"/>
        <v>04-D-251</v>
      </c>
      <c r="B256" s="787" t="str">
        <f t="shared" ca="1" si="15"/>
        <v>vijftien</v>
      </c>
      <c r="C256" s="537" t="s">
        <v>1820</v>
      </c>
      <c r="D256" s="537" t="s">
        <v>1821</v>
      </c>
      <c r="E256" s="537" t="s">
        <v>1822</v>
      </c>
      <c r="F256" s="537" t="s">
        <v>1823</v>
      </c>
    </row>
    <row r="257" spans="1:6" s="538" customFormat="1" x14ac:dyDescent="0.25">
      <c r="A257" s="549" t="str">
        <f t="shared" si="14"/>
        <v>04-D-252</v>
      </c>
      <c r="B257" s="788" t="str">
        <f t="shared" ca="1" si="15"/>
        <v>zestien</v>
      </c>
      <c r="C257" s="538" t="s">
        <v>1824</v>
      </c>
      <c r="D257" s="538" t="s">
        <v>1825</v>
      </c>
      <c r="E257" s="538" t="s">
        <v>1826</v>
      </c>
      <c r="F257" s="538" t="s">
        <v>1827</v>
      </c>
    </row>
    <row r="258" spans="1:6" s="537" customFormat="1" x14ac:dyDescent="0.25">
      <c r="A258" s="550" t="str">
        <f t="shared" si="14"/>
        <v>04-D-253</v>
      </c>
      <c r="B258" s="787" t="str">
        <f t="shared" ca="1" si="15"/>
        <v>zeventien</v>
      </c>
      <c r="C258" s="537" t="s">
        <v>1828</v>
      </c>
      <c r="D258" s="537" t="s">
        <v>1829</v>
      </c>
      <c r="E258" s="537" t="s">
        <v>1830</v>
      </c>
      <c r="F258" s="537" t="s">
        <v>1831</v>
      </c>
    </row>
    <row r="259" spans="1:6" s="538" customFormat="1" x14ac:dyDescent="0.25">
      <c r="A259" s="549" t="str">
        <f t="shared" si="14"/>
        <v>04-D-254</v>
      </c>
      <c r="B259" s="788" t="str">
        <f t="shared" ca="1" si="15"/>
        <v>achting</v>
      </c>
      <c r="C259" s="538" t="s">
        <v>1832</v>
      </c>
      <c r="D259" s="538" t="s">
        <v>1833</v>
      </c>
      <c r="E259" s="538" t="s">
        <v>1834</v>
      </c>
      <c r="F259" s="538" t="s">
        <v>1835</v>
      </c>
    </row>
    <row r="260" spans="1:6" s="537" customFormat="1" x14ac:dyDescent="0.25">
      <c r="A260" s="550" t="str">
        <f t="shared" si="14"/>
        <v>04-D-255</v>
      </c>
      <c r="B260" s="787" t="str">
        <f t="shared" ca="1" si="15"/>
        <v>negentien</v>
      </c>
      <c r="C260" s="537" t="s">
        <v>1836</v>
      </c>
      <c r="D260" s="537" t="s">
        <v>1837</v>
      </c>
      <c r="E260" s="537" t="s">
        <v>1838</v>
      </c>
      <c r="F260" s="537" t="s">
        <v>1839</v>
      </c>
    </row>
    <row r="261" spans="1:6" s="538" customFormat="1" x14ac:dyDescent="0.25">
      <c r="A261" s="549" t="str">
        <f t="shared" si="14"/>
        <v>04-D-256</v>
      </c>
      <c r="B261" s="788" t="str">
        <f t="shared" ca="1" si="15"/>
        <v>twintig</v>
      </c>
      <c r="C261" s="538" t="s">
        <v>1840</v>
      </c>
      <c r="D261" s="538" t="s">
        <v>1841</v>
      </c>
      <c r="E261" s="538" t="s">
        <v>1842</v>
      </c>
      <c r="F261" s="538" t="s">
        <v>1843</v>
      </c>
    </row>
    <row r="262" spans="1:6" s="537" customFormat="1" x14ac:dyDescent="0.25">
      <c r="A262" s="550" t="str">
        <f t="shared" si="14"/>
        <v>04-D-257</v>
      </c>
      <c r="B262" s="787" t="str">
        <f t="shared" ca="1" si="15"/>
        <v>team</v>
      </c>
      <c r="C262" s="537" t="s">
        <v>1844</v>
      </c>
      <c r="D262" s="537" t="s">
        <v>1844</v>
      </c>
      <c r="E262" s="537" t="s">
        <v>1845</v>
      </c>
      <c r="F262" s="537" t="s">
        <v>1846</v>
      </c>
    </row>
    <row r="263" spans="1:6" s="538" customFormat="1" x14ac:dyDescent="0.25">
      <c r="A263" s="549" t="str">
        <f t="shared" si="14"/>
        <v>04-D-258</v>
      </c>
      <c r="B263" s="788" t="str">
        <f t="shared" ca="1" si="15"/>
        <v>teams</v>
      </c>
      <c r="C263" s="538" t="s">
        <v>1847</v>
      </c>
      <c r="D263" s="538" t="s">
        <v>1847</v>
      </c>
      <c r="E263" s="538" t="s">
        <v>178</v>
      </c>
      <c r="F263" s="538" t="s">
        <v>1846</v>
      </c>
    </row>
    <row r="264" spans="1:6" s="537" customFormat="1" x14ac:dyDescent="0.25">
      <c r="A264" s="550" t="str">
        <f t="shared" si="14"/>
        <v>04-D-259</v>
      </c>
      <c r="B264" s="787" t="str">
        <f t="shared" ca="1" si="15"/>
        <v>team selecteren</v>
      </c>
      <c r="C264" s="537" t="s">
        <v>1848</v>
      </c>
      <c r="D264" s="537" t="s">
        <v>1849</v>
      </c>
      <c r="E264" s="537" t="s">
        <v>1850</v>
      </c>
      <c r="F264" s="537" t="s">
        <v>1851</v>
      </c>
    </row>
    <row r="265" spans="1:6" s="538" customFormat="1" x14ac:dyDescent="0.25">
      <c r="A265" s="549" t="str">
        <f t="shared" si="14"/>
        <v>04-D-260</v>
      </c>
      <c r="B265" s="788" t="str">
        <f t="shared" ca="1" si="15"/>
        <v>ja</v>
      </c>
      <c r="C265" s="538" t="s">
        <v>1852</v>
      </c>
      <c r="D265" s="538" t="s">
        <v>1853</v>
      </c>
      <c r="E265" s="538" t="s">
        <v>1852</v>
      </c>
      <c r="F265" s="538" t="s">
        <v>1852</v>
      </c>
    </row>
    <row r="266" spans="1:6" s="537" customFormat="1" x14ac:dyDescent="0.25">
      <c r="A266" s="550" t="str">
        <f t="shared" si="14"/>
        <v>04-D-261</v>
      </c>
      <c r="B266" s="787" t="str">
        <f t="shared" ca="1" si="15"/>
        <v>nee</v>
      </c>
      <c r="C266" s="537" t="s">
        <v>1854</v>
      </c>
      <c r="D266" s="537" t="s">
        <v>1855</v>
      </c>
      <c r="E266" s="537" t="s">
        <v>1856</v>
      </c>
      <c r="F266" s="537" t="s">
        <v>1857</v>
      </c>
    </row>
    <row r="267" spans="1:6" s="538" customFormat="1" x14ac:dyDescent="0.25">
      <c r="A267" s="549" t="str">
        <f t="shared" si="14"/>
        <v>04-D-262</v>
      </c>
      <c r="B267" s="788" t="str">
        <f t="shared" ca="1" si="15"/>
        <v>Er zijn onvoldoende teams geselecteerd.</v>
      </c>
      <c r="C267" s="538" t="s">
        <v>1858</v>
      </c>
      <c r="D267" s="538" t="s">
        <v>1859</v>
      </c>
      <c r="E267" s="538" t="s">
        <v>1860</v>
      </c>
      <c r="F267" s="538" t="s">
        <v>1861</v>
      </c>
    </row>
    <row r="268" spans="1:6" s="537" customFormat="1" x14ac:dyDescent="0.25">
      <c r="A268" s="550" t="str">
        <f t="shared" si="14"/>
        <v>04-D-263</v>
      </c>
      <c r="B268" s="787" t="str">
        <f t="shared" ca="1" si="15"/>
        <v>Er zijn voldoende teams geselecteerd.</v>
      </c>
      <c r="C268" s="537" t="s">
        <v>1862</v>
      </c>
      <c r="D268" s="537" t="s">
        <v>1863</v>
      </c>
      <c r="E268" s="537" t="s">
        <v>1864</v>
      </c>
      <c r="F268" s="537" t="s">
        <v>1865</v>
      </c>
    </row>
    <row r="269" spans="1:6" s="538" customFormat="1" x14ac:dyDescent="0.25">
      <c r="A269" s="549" t="str">
        <f t="shared" si="14"/>
        <v>04-D-264</v>
      </c>
      <c r="B269" s="788" t="str">
        <f t="shared" ca="1" si="15"/>
        <v>Er zijn meer teams geselecteerd dan toegestaan.</v>
      </c>
      <c r="C269" s="538" t="s">
        <v>1866</v>
      </c>
      <c r="D269" s="538" t="s">
        <v>1867</v>
      </c>
      <c r="E269" s="538" t="s">
        <v>1868</v>
      </c>
      <c r="F269" s="538" t="s">
        <v>1869</v>
      </c>
    </row>
    <row r="270" spans="1:6" s="537" customFormat="1" x14ac:dyDescent="0.25">
      <c r="A270" s="550" t="str">
        <f t="shared" si="14"/>
        <v>04-D-265</v>
      </c>
      <c r="B270" s="787" t="str">
        <f t="shared" ca="1" si="15"/>
        <v>Zie volgende pagina voor de overige teams.</v>
      </c>
      <c r="C270" s="537" t="s">
        <v>1870</v>
      </c>
      <c r="D270" s="537" t="s">
        <v>1871</v>
      </c>
      <c r="E270" s="537" t="s">
        <v>1872</v>
      </c>
      <c r="F270" s="537" t="s">
        <v>1873</v>
      </c>
    </row>
    <row r="271" spans="1:6" s="538" customFormat="1" x14ac:dyDescent="0.25">
      <c r="A271" s="549" t="str">
        <f t="shared" si="14"/>
        <v>04-D-266</v>
      </c>
      <c r="B271" s="788" t="str">
        <f t="shared" ca="1" si="15"/>
        <v>Dit werkblad is niet van toepassing. De organisator heeft gekozen om de TEAMS functie niet te gebruiken.</v>
      </c>
      <c r="C271" s="538" t="s">
        <v>1874</v>
      </c>
      <c r="D271" s="538" t="s">
        <v>1875</v>
      </c>
      <c r="E271" s="538" t="s">
        <v>1876</v>
      </c>
      <c r="F271" s="538" t="s">
        <v>1877</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1878</v>
      </c>
      <c r="B1" s="93" t="s">
        <v>1879</v>
      </c>
      <c r="C1" s="93" t="s">
        <v>1880</v>
      </c>
      <c r="D1" s="93" t="s">
        <v>1881</v>
      </c>
      <c r="E1" s="93" t="s">
        <v>1882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181</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533</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1883</v>
      </c>
      <c r="C65" s="37"/>
      <c r="D65" s="37"/>
      <c r="E65" s="37"/>
      <c r="F65" s="37"/>
      <c r="G65" s="239" t="s">
        <v>1884</v>
      </c>
      <c r="H65" s="823" t="s">
        <v>1885</v>
      </c>
      <c r="I65" s="1051" t="s">
        <v>1886</v>
      </c>
      <c r="J65" s="1051"/>
      <c r="K65" s="37"/>
      <c r="L65" s="37"/>
      <c r="M65" s="37"/>
      <c r="N65" s="37"/>
      <c r="O65" s="240" t="s">
        <v>1887</v>
      </c>
      <c r="P65" s="241" t="str">
        <f>IF(LEN(S65)=2,LEFT(RIGHT(R62,7),5),LEFT(RIGHT(R62,6),5))</f>
        <v>24.00</v>
      </c>
      <c r="Q65" s="23"/>
      <c r="R65" s="240" t="s">
        <v>1888</v>
      </c>
      <c r="S65" s="242" t="str">
        <f>IF(TYPE(LEFT(RIGHT(R62,2),1)*1)=1,RIGHT(R62,1),RIGHT(R62,2))</f>
        <v>dh</v>
      </c>
      <c r="T65" s="37"/>
      <c r="U65" s="48"/>
      <c r="V65" s="48"/>
      <c r="W65" s="48"/>
      <c r="X65" s="616" t="s">
        <v>1889</v>
      </c>
      <c r="Y65" s="595" t="s">
        <v>1890</v>
      </c>
      <c r="Z65" s="595" t="s">
        <v>1891</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1892</v>
      </c>
      <c r="C66" s="37"/>
      <c r="D66" s="37"/>
      <c r="E66" s="37"/>
      <c r="F66" s="37"/>
      <c r="G66" s="239" t="s">
        <v>1884</v>
      </c>
      <c r="H66" s="241" t="s">
        <v>1893</v>
      </c>
      <c r="I66" s="617" t="s">
        <v>1894</v>
      </c>
      <c r="J66" s="37"/>
      <c r="K66" s="37"/>
      <c r="L66" s="37"/>
      <c r="M66" s="37"/>
      <c r="N66" s="37"/>
      <c r="O66" s="240" t="s">
        <v>1895</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1896</v>
      </c>
      <c r="C67" s="37"/>
      <c r="D67" s="37"/>
      <c r="E67" s="37"/>
      <c r="F67" s="37"/>
      <c r="G67" s="239" t="s">
        <v>1884</v>
      </c>
      <c r="H67" s="243"/>
      <c r="I67" s="37"/>
      <c r="J67" s="37"/>
      <c r="K67" s="37"/>
      <c r="L67" s="37"/>
      <c r="M67" s="37"/>
      <c r="N67" s="37"/>
      <c r="O67" s="240" t="s">
        <v>1897</v>
      </c>
      <c r="P67" s="423" t="s">
        <v>1898</v>
      </c>
      <c r="Q67" s="37"/>
      <c r="R67" s="37"/>
      <c r="S67" s="37"/>
      <c r="T67" s="37"/>
      <c r="U67" s="48"/>
      <c r="V67" s="578">
        <v>1</v>
      </c>
      <c r="W67" s="578" t="str">
        <f>Taal01!B62</f>
        <v>Dutch</v>
      </c>
      <c r="X67" s="616" t="s">
        <v>1899</v>
      </c>
      <c r="Y67" s="595" t="str">
        <f ca="1">Taal02!$B$7</f>
        <v>Duitsland</v>
      </c>
      <c r="Z67" s="595" t="s">
        <v>429</v>
      </c>
      <c r="AA67" s="600" t="str">
        <f ca="1">RIGHT(LEFT(Taal02!$B$48,(ROW()-66)*2),2)</f>
        <v>B4</v>
      </c>
      <c r="AB67" s="358" t="str">
        <f t="shared" ref="AB67:AB98" ca="1" si="1">VLOOKUP($AA67,$X$67:$Z$98,2)</f>
        <v>Albanië</v>
      </c>
      <c r="AC67" s="598" t="str">
        <f ca="1">VLOOKUP($AA67,$X$67:$Z$98,3)</f>
        <v>AL</v>
      </c>
      <c r="AD67" s="275" t="s">
        <v>1900</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1901</v>
      </c>
      <c r="I68" s="37"/>
      <c r="J68" s="37"/>
      <c r="K68" s="37"/>
      <c r="L68" s="37"/>
      <c r="M68" s="37"/>
      <c r="N68" s="37"/>
      <c r="O68" s="240" t="s">
        <v>1902</v>
      </c>
      <c r="P68" s="360" t="str">
        <f>IF(ISNUMBER($P$67),FLOOR(($P$67-1)/10,1),"nvt")</f>
        <v>nvt</v>
      </c>
      <c r="Q68" s="37"/>
      <c r="R68" s="37"/>
      <c r="S68" s="37"/>
      <c r="T68" s="37"/>
      <c r="U68" s="48"/>
      <c r="V68" s="578">
        <v>2</v>
      </c>
      <c r="W68" s="578" t="str">
        <f>Taal01!B63</f>
        <v>English</v>
      </c>
      <c r="X68" s="616" t="s">
        <v>1903</v>
      </c>
      <c r="Y68" s="595" t="str">
        <f ca="1">Taal02!$B$8</f>
        <v>Schotland</v>
      </c>
      <c r="Z68" s="595" t="s">
        <v>1904</v>
      </c>
      <c r="AA68" s="600" t="str">
        <f ca="1">RIGHT(LEFT(Taal02!$B$48,(ROW()-66)*2),2)</f>
        <v>E1</v>
      </c>
      <c r="AB68" s="358" t="str">
        <f t="shared" ca="1" si="1"/>
        <v>België</v>
      </c>
      <c r="AC68" s="598" t="str">
        <f t="shared" ref="AC68:AC98" ca="1" si="3">VLOOKUP($AA68,$X$67:$Z$98,3)</f>
        <v>BE</v>
      </c>
      <c r="AD68" s="275" t="s">
        <v>1905</v>
      </c>
      <c r="AE68" s="275" t="str">
        <f t="shared" ca="1" si="2"/>
        <v>Oostenrijk</v>
      </c>
      <c r="AF68" s="358" t="str">
        <f t="shared" ref="AF68:AF98" si="4">VLOOKUP($AD68,$X$67:$Z$98,3)</f>
        <v>AT</v>
      </c>
      <c r="AG68" s="275" t="str">
        <f t="shared" ref="AG68:AG98" ca="1" si="5">AE68</f>
        <v>Oostenrijk</v>
      </c>
    </row>
    <row r="69" spans="2:33" hidden="1" x14ac:dyDescent="0.25">
      <c r="B69" s="238" t="s">
        <v>1906</v>
      </c>
      <c r="C69" s="37"/>
      <c r="D69" s="37"/>
      <c r="E69" s="37"/>
      <c r="F69" s="37"/>
      <c r="G69" s="239" t="s">
        <v>1884</v>
      </c>
      <c r="H69" s="360" t="str">
        <f>IF(OR($S$65="a",$S$65="b",$S$65="c"),IF(AND($P$66="JA",Reglement!N81=0),"NEE","JA"),"n.v.t.")</f>
        <v>n.v.t.</v>
      </c>
      <c r="I69" s="37"/>
      <c r="J69" s="37"/>
      <c r="K69" s="37"/>
      <c r="L69" s="37"/>
      <c r="M69" s="37"/>
      <c r="N69" s="37"/>
      <c r="O69" s="240" t="s">
        <v>1907</v>
      </c>
      <c r="P69" s="360" t="str">
        <f>IF(ISNUMBER($P$67),41,"nvt")</f>
        <v>nvt</v>
      </c>
      <c r="Q69" s="37"/>
      <c r="R69" s="37"/>
      <c r="S69" s="37"/>
      <c r="T69" s="37"/>
      <c r="U69" s="48"/>
      <c r="V69" s="578">
        <v>3</v>
      </c>
      <c r="W69" s="578" t="str">
        <f>Taal01!B64</f>
        <v>German (under development)</v>
      </c>
      <c r="X69" s="616" t="s">
        <v>1908</v>
      </c>
      <c r="Y69" s="595" t="str">
        <f ca="1">Taal02!$B$9</f>
        <v>Hongarije</v>
      </c>
      <c r="Z69" s="595" t="s">
        <v>1909</v>
      </c>
      <c r="AA69" s="600" t="str">
        <f ca="1">RIGHT(LEFT(Taal02!$B$48,(ROW()-66)*2),2)</f>
        <v>C2</v>
      </c>
      <c r="AB69" s="358" t="str">
        <f t="shared" ca="1" si="1"/>
        <v>Denemarken</v>
      </c>
      <c r="AC69" s="598" t="str">
        <f t="shared" ca="1" si="3"/>
        <v>DK</v>
      </c>
      <c r="AD69" s="275" t="s">
        <v>1910</v>
      </c>
      <c r="AE69" s="275" t="str">
        <f t="shared" ca="1" si="2"/>
        <v>België</v>
      </c>
      <c r="AF69" s="358" t="str">
        <f t="shared" si="4"/>
        <v>BE</v>
      </c>
      <c r="AG69" s="275" t="str">
        <f t="shared" ca="1" si="5"/>
        <v>België</v>
      </c>
    </row>
    <row r="70" spans="2:33" hidden="1" x14ac:dyDescent="0.25">
      <c r="B70" s="238" t="s">
        <v>115</v>
      </c>
      <c r="C70" s="37"/>
      <c r="D70" s="37"/>
      <c r="E70" s="37"/>
      <c r="F70" s="37"/>
      <c r="G70" s="239" t="s">
        <v>1884</v>
      </c>
      <c r="H70" s="37" t="str">
        <f>IF(OR($S$65="a",$S$65="b",$S$65="c"),IF(AND($P$66="JA",Reglement!G123="##"),"NEE","JA"),"n.v.t.")</f>
        <v>n.v.t.</v>
      </c>
      <c r="I70" s="37"/>
      <c r="J70" s="37"/>
      <c r="K70" s="37"/>
      <c r="L70" s="37"/>
      <c r="M70" s="37"/>
      <c r="N70" s="37"/>
      <c r="O70" s="240" t="s">
        <v>1911</v>
      </c>
      <c r="P70" s="360" t="str">
        <f>IF(ISNUMBER($P$67),$P$67+$P$68+$P$69-1,"nvt")</f>
        <v>nvt</v>
      </c>
      <c r="Q70" s="37"/>
      <c r="R70" s="37"/>
      <c r="S70" s="37"/>
      <c r="T70" s="37"/>
      <c r="U70" s="48"/>
      <c r="V70" s="578">
        <v>4</v>
      </c>
      <c r="W70" s="578" t="str">
        <f>Taal01!B65</f>
        <v>Swedish (under development)</v>
      </c>
      <c r="X70" s="616" t="s">
        <v>1912</v>
      </c>
      <c r="Y70" s="595" t="str">
        <f ca="1">Taal02!$B$10</f>
        <v>Zwitserland</v>
      </c>
      <c r="Z70" s="595" t="s">
        <v>1913</v>
      </c>
      <c r="AA70" s="600" t="str">
        <f ca="1">RIGHT(LEFT(Taal02!$B$48,(ROW()-66)*2),2)</f>
        <v>A1</v>
      </c>
      <c r="AB70" s="358" t="str">
        <f t="shared" ca="1" si="1"/>
        <v>Duitsland</v>
      </c>
      <c r="AC70" s="598" t="str">
        <f t="shared" ca="1" si="3"/>
        <v>DE</v>
      </c>
      <c r="AD70" s="275" t="s">
        <v>1912</v>
      </c>
      <c r="AE70" s="275" t="str">
        <f t="shared" ca="1" si="2"/>
        <v>Zwitserland</v>
      </c>
      <c r="AF70" s="358" t="str">
        <f t="shared" si="4"/>
        <v>CH</v>
      </c>
      <c r="AG70" s="275" t="str">
        <f t="shared" ca="1" si="5"/>
        <v>Zwitserland</v>
      </c>
    </row>
    <row r="71" spans="2:33" hidden="1" x14ac:dyDescent="0.25">
      <c r="B71" s="238" t="s">
        <v>123</v>
      </c>
      <c r="C71" s="37"/>
      <c r="D71" s="37"/>
      <c r="E71" s="37"/>
      <c r="F71" s="37"/>
      <c r="G71" s="239" t="s">
        <v>1884</v>
      </c>
      <c r="H71" s="37" t="str">
        <f>IF(OR($S$65="a",$S$65="b",$S$65="c"),IF(AND($P$66="JA",Reglement!S87="NEE"),"NEE","JA"),"n.v.t.")</f>
        <v>n.v.t.</v>
      </c>
      <c r="I71" s="37"/>
      <c r="J71" s="37"/>
      <c r="K71" s="37"/>
      <c r="L71" s="37"/>
      <c r="M71" s="37"/>
      <c r="N71" s="37"/>
      <c r="O71" s="240" t="s">
        <v>1914</v>
      </c>
      <c r="P71" s="360" t="str">
        <f>IF(ISNUMBER($P$67),$P$70+IF(RIGHT(P67,1)*1=0,4,3),"nvt")</f>
        <v>nvt</v>
      </c>
      <c r="Q71" s="37"/>
      <c r="R71" s="37"/>
      <c r="S71" s="37"/>
      <c r="T71" s="37"/>
      <c r="U71" s="48"/>
      <c r="V71" s="578">
        <v>5</v>
      </c>
      <c r="W71" s="578"/>
      <c r="X71" s="616" t="s">
        <v>1915</v>
      </c>
      <c r="Y71" s="595" t="str">
        <f ca="1">Taal02!$B$12</f>
        <v>Spanje</v>
      </c>
      <c r="Z71" s="595" t="s">
        <v>1916</v>
      </c>
      <c r="AA71" s="600" t="str">
        <f ca="1">RIGHT(LEFT(Taal02!$B$48,(ROW()-66)*2),2)</f>
        <v>C4</v>
      </c>
      <c r="AB71" s="358" t="str">
        <f t="shared" ca="1" si="1"/>
        <v>Engeland</v>
      </c>
      <c r="AC71" s="598" t="str">
        <f t="shared" ca="1" si="3"/>
        <v>GB</v>
      </c>
      <c r="AD71" s="275" t="s">
        <v>1917</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1918</v>
      </c>
      <c r="P72" s="606">
        <f>Reglement!$G$140</f>
        <v>2</v>
      </c>
      <c r="Q72" s="1053" t="str">
        <f>IF(P72=0,Taal01!B17,IF(P72=1,Taal01!B18,IF(P72=3,Taal01!B19,"")))</f>
        <v/>
      </c>
      <c r="R72" s="1053"/>
      <c r="S72" s="1053"/>
      <c r="T72" s="1053"/>
      <c r="U72" s="48"/>
      <c r="V72" s="578">
        <v>6</v>
      </c>
      <c r="W72" s="578"/>
      <c r="X72" s="616" t="s">
        <v>1919</v>
      </c>
      <c r="Y72" s="595" t="str">
        <f ca="1">Taal02!$B$13</f>
        <v>Kroatië</v>
      </c>
      <c r="Z72" s="595" t="s">
        <v>1920</v>
      </c>
      <c r="AA72" s="600" t="str">
        <f ca="1">RIGHT(LEFT(Taal02!$B$48,(ROW()-66)*2),2)</f>
        <v>D4</v>
      </c>
      <c r="AB72" s="358" t="str">
        <f t="shared" ca="1" si="1"/>
        <v>Frankrijk</v>
      </c>
      <c r="AC72" s="598" t="str">
        <f t="shared" ca="1" si="3"/>
        <v>FR</v>
      </c>
      <c r="AD72" s="275" t="s">
        <v>1899</v>
      </c>
      <c r="AE72" s="275" t="str">
        <f t="shared" ca="1" si="2"/>
        <v>Duitsland</v>
      </c>
      <c r="AF72" s="358" t="str">
        <f t="shared" si="4"/>
        <v>DE</v>
      </c>
      <c r="AG72" s="275" t="str">
        <f t="shared" ca="1" si="5"/>
        <v>Duitsland</v>
      </c>
    </row>
    <row r="73" spans="2:33" hidden="1" x14ac:dyDescent="0.25">
      <c r="B73" s="996" t="s">
        <v>1921</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1922</v>
      </c>
      <c r="Y73" s="595" t="str">
        <f ca="1">Taal02!$B$14</f>
        <v>Italië</v>
      </c>
      <c r="Z73" s="595" t="s">
        <v>1923</v>
      </c>
      <c r="AA73" s="600" t="str">
        <f ca="1">RIGHT(LEFT(Taal02!$B$48,(ROW()-66)*2),2)</f>
        <v>F2</v>
      </c>
      <c r="AB73" s="358" t="str">
        <f t="shared" ca="1" si="1"/>
        <v>Georgië</v>
      </c>
      <c r="AC73" s="598" t="str">
        <f t="shared" ca="1" si="3"/>
        <v>GE</v>
      </c>
      <c r="AD73" s="275" t="s">
        <v>1924</v>
      </c>
      <c r="AE73" s="275" t="str">
        <f t="shared" ca="1" si="2"/>
        <v>Denemarken</v>
      </c>
      <c r="AF73" s="358" t="str">
        <f t="shared" si="4"/>
        <v>DK</v>
      </c>
      <c r="AG73" s="275" t="str">
        <f t="shared" ca="1" si="5"/>
        <v>Denemarken</v>
      </c>
    </row>
    <row r="74" spans="2:33" hidden="1" x14ac:dyDescent="0.25">
      <c r="B74" s="998" t="s">
        <v>1925</v>
      </c>
      <c r="C74" s="245"/>
      <c r="D74" s="245"/>
      <c r="E74" s="245"/>
      <c r="F74" s="245"/>
      <c r="G74" s="245"/>
      <c r="H74" s="245"/>
      <c r="I74" s="245"/>
      <c r="J74" s="1056" t="s">
        <v>1926</v>
      </c>
      <c r="K74" s="1056"/>
      <c r="L74" s="245"/>
      <c r="M74" s="245"/>
      <c r="N74" s="245"/>
      <c r="O74" s="245"/>
      <c r="P74" s="245"/>
      <c r="Q74" s="245"/>
      <c r="R74" s="245"/>
      <c r="S74" s="245"/>
      <c r="T74" s="245"/>
      <c r="U74" s="48"/>
      <c r="V74" s="578">
        <v>8</v>
      </c>
      <c r="W74" s="578"/>
      <c r="X74" s="616" t="s">
        <v>1900</v>
      </c>
      <c r="Y74" s="595" t="str">
        <f ca="1">Taal02!$B$15</f>
        <v>Albanië</v>
      </c>
      <c r="Z74" s="595" t="s">
        <v>1927</v>
      </c>
      <c r="AA74" s="600" t="str">
        <f ca="1">RIGHT(LEFT(Taal02!$B$48,(ROW()-66)*2),2)</f>
        <v>A3</v>
      </c>
      <c r="AB74" s="358" t="str">
        <f t="shared" ca="1" si="1"/>
        <v>Hongarije</v>
      </c>
      <c r="AC74" s="598" t="str">
        <f t="shared" ca="1" si="3"/>
        <v>HU</v>
      </c>
      <c r="AD74" s="275" t="s">
        <v>1915</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1928</v>
      </c>
      <c r="Y75" s="595" t="str">
        <f ca="1">Taal02!$B$17</f>
        <v>Slovenië</v>
      </c>
      <c r="Z75" s="595" t="s">
        <v>1929</v>
      </c>
      <c r="AA75" s="600" t="str">
        <f ca="1">RIGHT(LEFT(Taal02!$B$48,(ROW()-66)*2),2)</f>
        <v>B3</v>
      </c>
      <c r="AB75" s="358" t="str">
        <f t="shared" ca="1" si="1"/>
        <v>Italië</v>
      </c>
      <c r="AC75" s="598" t="str">
        <f t="shared" ca="1" si="3"/>
        <v>IT</v>
      </c>
      <c r="AD75" s="275" t="s">
        <v>1930</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1924</v>
      </c>
      <c r="Y76" s="595" t="str">
        <f ca="1">Taal02!$B$18</f>
        <v>Denemarken</v>
      </c>
      <c r="Z76" s="595" t="s">
        <v>1931</v>
      </c>
      <c r="AA76" s="600" t="str">
        <f ca="1">RIGHT(LEFT(Taal02!$B$48,(ROW()-66)*2),2)</f>
        <v>B2</v>
      </c>
      <c r="AB76" s="358" t="str">
        <f t="shared" ca="1" si="1"/>
        <v>Kroatië</v>
      </c>
      <c r="AC76" s="598" t="str">
        <f t="shared" ca="1" si="3"/>
        <v>HR</v>
      </c>
      <c r="AD76" s="275" t="s">
        <v>1932</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1933</v>
      </c>
      <c r="Y77" s="595" t="str">
        <f ca="1">Taal02!$B$19</f>
        <v>Servië</v>
      </c>
      <c r="Z77" s="595" t="s">
        <v>1934</v>
      </c>
      <c r="AA77" s="600" t="str">
        <f ca="1">RIGHT(LEFT(Taal02!$B$48,(ROW()-66)*2),2)</f>
        <v>D2</v>
      </c>
      <c r="AB77" s="358" t="str">
        <f t="shared" ca="1" si="1"/>
        <v>Nederland</v>
      </c>
      <c r="AC77" s="598" t="str">
        <f t="shared" ca="1" si="3"/>
        <v>NL</v>
      </c>
      <c r="AD77" s="275" t="s">
        <v>1935</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1932</v>
      </c>
      <c r="Y78" s="595" t="str">
        <f ca="1">Taal02!$B$20</f>
        <v>Engeland</v>
      </c>
      <c r="Z78" s="595" t="s">
        <v>1936</v>
      </c>
      <c r="AA78" s="600" t="str">
        <f ca="1">RIGHT(LEFT(Taal02!$B$48,(ROW()-66)*2),2)</f>
        <v>E4</v>
      </c>
      <c r="AB78" s="358" t="str">
        <f t="shared" ca="1" si="1"/>
        <v>Oekraïne</v>
      </c>
      <c r="AC78" s="598" t="str">
        <f t="shared" ca="1" si="3"/>
        <v>UA</v>
      </c>
      <c r="AD78" s="275" t="s">
        <v>1919</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1937</v>
      </c>
      <c r="Y79" s="595" t="str">
        <f ca="1">Taal02!$B$22</f>
        <v>Polen</v>
      </c>
      <c r="Z79" s="595" t="s">
        <v>1938</v>
      </c>
      <c r="AA79" s="600" t="str">
        <f ca="1">RIGHT(LEFT(Taal02!$B$48,(ROW()-66)*2),2)</f>
        <v>D3</v>
      </c>
      <c r="AB79" s="358" t="str">
        <f t="shared" ca="1" si="1"/>
        <v>Oostenrijk</v>
      </c>
      <c r="AC79" s="598" t="str">
        <f t="shared" ca="1" si="3"/>
        <v>AT</v>
      </c>
      <c r="AD79" s="275" t="s">
        <v>1908</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1939</v>
      </c>
      <c r="Y80" s="595" t="str">
        <f ca="1">Taal02!$B$23</f>
        <v>Nederland</v>
      </c>
      <c r="Z80" s="595" t="s">
        <v>1940</v>
      </c>
      <c r="AA80" s="600" t="str">
        <f ca="1">RIGHT(LEFT(Taal02!$B$48,(ROW()-66)*2),2)</f>
        <v>D1</v>
      </c>
      <c r="AB80" s="358" t="str">
        <f t="shared" ca="1" si="1"/>
        <v>Polen</v>
      </c>
      <c r="AC80" s="598" t="str">
        <f t="shared" ca="1" si="3"/>
        <v>PL</v>
      </c>
      <c r="AD80" s="275" t="s">
        <v>1922</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1905</v>
      </c>
      <c r="Y81" s="595" t="str">
        <f ca="1">Taal02!$B$24</f>
        <v>Oostenrijk</v>
      </c>
      <c r="Z81" s="595" t="s">
        <v>1941</v>
      </c>
      <c r="AA81" s="600" t="str">
        <f ca="1">RIGHT(LEFT(Taal02!$B$48,(ROW()-66)*2),2)</f>
        <v>F3</v>
      </c>
      <c r="AB81" s="358" t="str">
        <f t="shared" ca="1" si="1"/>
        <v>Portugal</v>
      </c>
      <c r="AC81" s="598" t="str">
        <f t="shared" ca="1" si="3"/>
        <v>PT</v>
      </c>
      <c r="AD81" s="275" t="s">
        <v>1939</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1930</v>
      </c>
      <c r="Y82" s="595" t="str">
        <f ca="1">Taal02!$B$25</f>
        <v>Frankrijk</v>
      </c>
      <c r="Z82" s="595" t="s">
        <v>1942</v>
      </c>
      <c r="AA82" s="600" t="str">
        <f ca="1">RIGHT(LEFT(Taal02!$B$48,(ROW()-66)*2),2)</f>
        <v>E3</v>
      </c>
      <c r="AB82" s="358" t="str">
        <f t="shared" ca="1" si="1"/>
        <v>Roemenië</v>
      </c>
      <c r="AC82" s="598" t="str">
        <f t="shared" ca="1" si="3"/>
        <v>RO</v>
      </c>
      <c r="AD82" s="275" t="s">
        <v>1937</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1910</v>
      </c>
      <c r="Y83" s="595" t="str">
        <f ca="1">Taal02!$B$27</f>
        <v>België</v>
      </c>
      <c r="Z83" s="595" t="s">
        <v>1943</v>
      </c>
      <c r="AA83" s="600" t="str">
        <f ca="1">RIGHT(LEFT(Taal02!$B$48,(ROW()-66)*2),2)</f>
        <v>A2</v>
      </c>
      <c r="AB83" s="358" t="str">
        <f t="shared" ca="1" si="1"/>
        <v>Schotland</v>
      </c>
      <c r="AC83" s="598" t="str">
        <f t="shared" ca="1" si="3"/>
        <v>SC</v>
      </c>
      <c r="AD83" s="275" t="s">
        <v>1944</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1945</v>
      </c>
      <c r="Y84" s="595" t="str">
        <f ca="1">Taal02!$B$28</f>
        <v>Slowakije</v>
      </c>
      <c r="Z84" s="595" t="s">
        <v>1946</v>
      </c>
      <c r="AA84" s="600" t="str">
        <f ca="1">RIGHT(LEFT(Taal02!$B$48,(ROW()-66)*2),2)</f>
        <v>C3</v>
      </c>
      <c r="AB84" s="358" t="str">
        <f t="shared" ca="1" si="1"/>
        <v>Servië</v>
      </c>
      <c r="AC84" s="598" t="str">
        <f t="shared" ca="1" si="3"/>
        <v>RS</v>
      </c>
      <c r="AD84" s="275" t="s">
        <v>1947</v>
      </c>
      <c r="AE84" s="275" t="str">
        <f t="shared" ca="1" si="2"/>
        <v>Roemenië</v>
      </c>
      <c r="AF84" s="358" t="str">
        <f t="shared" si="4"/>
        <v>RO</v>
      </c>
      <c r="AG84" s="275" t="str">
        <f t="shared" ca="1" si="5"/>
        <v>Roemenië</v>
      </c>
    </row>
    <row r="85" spans="2:33" hidden="1" x14ac:dyDescent="0.25">
      <c r="B85" s="5"/>
      <c r="C85" s="96" t="s">
        <v>1948</v>
      </c>
      <c r="D85" s="111" t="s">
        <v>1884</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1947</v>
      </c>
      <c r="Y85" s="595" t="str">
        <f ca="1">Taal02!$B$29</f>
        <v>Roemenië</v>
      </c>
      <c r="Z85" s="595" t="s">
        <v>1949</v>
      </c>
      <c r="AA85" s="600" t="str">
        <f ca="1">RIGHT(LEFT(Taal02!$B$48,(ROW()-66)*2),2)</f>
        <v>C1</v>
      </c>
      <c r="AB85" s="358" t="str">
        <f t="shared" ca="1" si="1"/>
        <v>Slovenië</v>
      </c>
      <c r="AC85" s="598" t="str">
        <f t="shared" ca="1" si="3"/>
        <v>SI</v>
      </c>
      <c r="AD85" s="275" t="s">
        <v>1933</v>
      </c>
      <c r="AE85" s="275" t="str">
        <f t="shared" ca="1" si="2"/>
        <v>Servië</v>
      </c>
      <c r="AF85" s="358" t="str">
        <f t="shared" si="4"/>
        <v>RS</v>
      </c>
      <c r="AG85" s="275" t="str">
        <f t="shared" ca="1" si="5"/>
        <v>Servië</v>
      </c>
    </row>
    <row r="86" spans="2:33" hidden="1" x14ac:dyDescent="0.25">
      <c r="B86" s="5"/>
      <c r="C86" s="525" t="str">
        <f>CHAR(CODE(C85)+1)</f>
        <v>b</v>
      </c>
      <c r="D86" s="526" t="s">
        <v>1884</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1950</v>
      </c>
      <c r="Y86" s="595" t="str">
        <f ca="1">Taal02!$B$30</f>
        <v>Oekraïne</v>
      </c>
      <c r="Z86" s="595" t="s">
        <v>1951</v>
      </c>
      <c r="AA86" s="600" t="str">
        <f ca="1">RIGHT(LEFT(Taal02!$B$48,(ROW()-66)*2),2)</f>
        <v>E2</v>
      </c>
      <c r="AB86" s="358" t="str">
        <f t="shared" ca="1" si="1"/>
        <v>Slowakije</v>
      </c>
      <c r="AC86" s="598" t="str">
        <f ca="1">VLOOKUP($AA86,$X$67:$Z$98,3)</f>
        <v>SK</v>
      </c>
      <c r="AD86" s="275" t="s">
        <v>1903</v>
      </c>
      <c r="AE86" s="275" t="str">
        <f t="shared" ca="1" si="2"/>
        <v>Schotland</v>
      </c>
      <c r="AF86" s="358" t="str">
        <f t="shared" si="4"/>
        <v>SC</v>
      </c>
      <c r="AG86" s="275" t="str">
        <f t="shared" ca="1" si="5"/>
        <v>Schotland</v>
      </c>
    </row>
    <row r="87" spans="2:33" hidden="1" x14ac:dyDescent="0.25">
      <c r="B87" s="5"/>
      <c r="C87" s="96" t="str">
        <f>CHAR(CODE(C86)+1)</f>
        <v>c</v>
      </c>
      <c r="D87" s="111" t="s">
        <v>1884</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1952</v>
      </c>
      <c r="Y87" s="595" t="str">
        <f ca="1">Taal02!$B$32</f>
        <v>Turkije</v>
      </c>
      <c r="Z87" s="595" t="s">
        <v>1953</v>
      </c>
      <c r="AA87" s="600" t="str">
        <f ca="1">RIGHT(LEFT(Taal02!$B$48,(ROW()-66)*2),2)</f>
        <v>B1</v>
      </c>
      <c r="AB87" s="358" t="str">
        <f t="shared" ca="1" si="1"/>
        <v>Spanje</v>
      </c>
      <c r="AC87" s="598" t="str">
        <f t="shared" ca="1" si="3"/>
        <v>ES</v>
      </c>
      <c r="AD87" s="275" t="s">
        <v>1928</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1884</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1935</v>
      </c>
      <c r="Y88" s="595" t="str">
        <f ca="1">Taal02!$B$33</f>
        <v>Georgië</v>
      </c>
      <c r="Z88" s="595" t="s">
        <v>1954</v>
      </c>
      <c r="AA88" s="600" t="str">
        <f ca="1">RIGHT(LEFT(Taal02!$B$48,(ROW()-66)*2),2)</f>
        <v>F4</v>
      </c>
      <c r="AB88" s="358" t="str">
        <f t="shared" ca="1" si="1"/>
        <v>Tsjechië</v>
      </c>
      <c r="AC88" s="598" t="str">
        <f t="shared" ca="1" si="3"/>
        <v>CZ</v>
      </c>
      <c r="AD88" s="275" t="s">
        <v>1945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1884</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1944</v>
      </c>
      <c r="Y89" s="595" t="str">
        <f ca="1">Taal02!$B$34</f>
        <v>Portugal</v>
      </c>
      <c r="Z89" s="595" t="s">
        <v>1955</v>
      </c>
      <c r="AA89" s="600" t="str">
        <f ca="1">RIGHT(LEFT(Taal02!$B$48,(ROW()-66)*2),2)</f>
        <v>F1</v>
      </c>
      <c r="AB89" s="358" t="str">
        <f t="shared" ca="1" si="1"/>
        <v>Turkije</v>
      </c>
      <c r="AC89" s="598" t="str">
        <f t="shared" ca="1" si="3"/>
        <v>TR</v>
      </c>
      <c r="AD89" s="275" t="s">
        <v>1952</v>
      </c>
      <c r="AE89" s="275" t="str">
        <f t="shared" ca="1" si="2"/>
        <v>Turkije</v>
      </c>
      <c r="AF89" s="358" t="str">
        <f t="shared" si="4"/>
        <v>TR</v>
      </c>
      <c r="AG89" s="275" t="str">
        <f t="shared" ca="1" si="5"/>
        <v>Turkije</v>
      </c>
    </row>
    <row r="90" spans="2:33" hidden="1" x14ac:dyDescent="0.25">
      <c r="B90" s="5"/>
      <c r="C90" s="96" t="str">
        <f>IF(LEN($S$65)=1,"r","rr")</f>
        <v>rr</v>
      </c>
      <c r="D90" s="111" t="s">
        <v>1884</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1917</v>
      </c>
      <c r="Y90" s="595" t="str">
        <f ca="1">Taal02!$B$35</f>
        <v>Tsjechië</v>
      </c>
      <c r="Z90" s="595" t="s">
        <v>1956</v>
      </c>
      <c r="AA90" s="600" t="str">
        <f ca="1">RIGHT(LEFT(Taal02!$B$48,(ROW()-66)*2),2)</f>
        <v>A4</v>
      </c>
      <c r="AB90" s="358" t="str">
        <f t="shared" ca="1" si="1"/>
        <v>Zwitserland</v>
      </c>
      <c r="AC90" s="598" t="str">
        <f t="shared" ca="1" si="3"/>
        <v>CH</v>
      </c>
      <c r="AD90" s="275" t="s">
        <v>1950</v>
      </c>
      <c r="AE90" s="275" t="str">
        <f t="shared" ca="1" si="2"/>
        <v>Oekraïne</v>
      </c>
      <c r="AF90" s="358" t="str">
        <f t="shared" si="4"/>
        <v>UA</v>
      </c>
      <c r="AG90" s="275" t="str">
        <f t="shared" ca="1" si="5"/>
        <v>Oekraïne</v>
      </c>
    </row>
    <row r="91" spans="2:33" hidden="1" x14ac:dyDescent="0.25">
      <c r="B91" s="5"/>
      <c r="C91" s="96" t="str">
        <f>IF(LEN($S$65)=1,"s","ss")</f>
        <v>ss</v>
      </c>
      <c r="D91" s="111" t="s">
        <v>1884</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1957</v>
      </c>
      <c r="Y91" s="595" t="str">
        <f ca="1">Taal02!$B$37</f>
        <v>ZZZ_land_G1</v>
      </c>
      <c r="Z91" s="595" t="s">
        <v>1958</v>
      </c>
      <c r="AA91" s="600" t="str">
        <f ca="1">RIGHT(LEFT(Taal02!$B$48,(ROW()-66)*2),2)</f>
        <v>G1</v>
      </c>
      <c r="AB91" s="358" t="str">
        <f t="shared" ca="1" si="1"/>
        <v>ZZZ_land_G1</v>
      </c>
      <c r="AC91" s="598" t="str">
        <f t="shared" ca="1" si="3"/>
        <v>ZA</v>
      </c>
      <c r="AD91" s="275" t="s">
        <v>1957</v>
      </c>
      <c r="AE91" s="275" t="str">
        <f t="shared" ca="1" si="2"/>
        <v>ZZZ_land_G1</v>
      </c>
      <c r="AF91" s="358" t="str">
        <f t="shared" si="4"/>
        <v>ZA</v>
      </c>
      <c r="AG91" s="275" t="str">
        <f t="shared" ca="1" si="5"/>
        <v>ZZZ_land_G1</v>
      </c>
    </row>
    <row r="92" spans="2:33" hidden="1" x14ac:dyDescent="0.25">
      <c r="B92" s="5"/>
      <c r="C92" s="96" t="str">
        <f>IF(LEN($S$65)=1,"t","tt")</f>
        <v>tt</v>
      </c>
      <c r="D92" s="111" t="s">
        <v>1884</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1959</v>
      </c>
      <c r="Y92" s="595" t="str">
        <f ca="1">Taal02!$B$38</f>
        <v>ZZZ_land_G2</v>
      </c>
      <c r="Z92" s="595" t="s">
        <v>1960</v>
      </c>
      <c r="AA92" s="600" t="str">
        <f ca="1">RIGHT(LEFT(Taal02!$B$48,(ROW()-66)*2),2)</f>
        <v>G2</v>
      </c>
      <c r="AB92" s="358" t="str">
        <f t="shared" ca="1" si="1"/>
        <v>ZZZ_land_G2</v>
      </c>
      <c r="AC92" s="598" t="str">
        <f t="shared" ca="1" si="3"/>
        <v>ZB</v>
      </c>
      <c r="AD92" s="275" t="s">
        <v>1959</v>
      </c>
      <c r="AE92" s="275" t="str">
        <f t="shared" ca="1" si="2"/>
        <v>ZZZ_land_G2</v>
      </c>
      <c r="AF92" s="358" t="str">
        <f t="shared" si="4"/>
        <v>ZB</v>
      </c>
      <c r="AG92" s="275" t="str">
        <f t="shared" ca="1" si="5"/>
        <v>ZZZ_land_G2</v>
      </c>
    </row>
    <row r="93" spans="2:33" hidden="1" x14ac:dyDescent="0.25">
      <c r="B93" s="5"/>
      <c r="C93" s="96" t="str">
        <f>IF(LEN($S$65)=1,"u","uu")</f>
        <v>uu</v>
      </c>
      <c r="D93" s="111" t="s">
        <v>1884</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1961</v>
      </c>
      <c r="Y93" s="595" t="str">
        <f ca="1">Taal02!$B$39</f>
        <v>ZZZ_land_G3</v>
      </c>
      <c r="Z93" s="595" t="s">
        <v>1962</v>
      </c>
      <c r="AA93" s="600" t="str">
        <f ca="1">RIGHT(LEFT(Taal02!$B$48,(ROW()-66)*2),2)</f>
        <v>G3</v>
      </c>
      <c r="AB93" s="358" t="str">
        <f t="shared" ca="1" si="1"/>
        <v>ZZZ_land_G3</v>
      </c>
      <c r="AC93" s="598" t="str">
        <f t="shared" ca="1" si="3"/>
        <v>ZC</v>
      </c>
      <c r="AD93" s="275" t="s">
        <v>1961</v>
      </c>
      <c r="AE93" s="275" t="str">
        <f t="shared" ca="1" si="2"/>
        <v>ZZZ_land_G3</v>
      </c>
      <c r="AF93" s="358" t="str">
        <f t="shared" si="4"/>
        <v>ZC</v>
      </c>
      <c r="AG93" s="275" t="str">
        <f t="shared" ca="1" si="5"/>
        <v>ZZZ_land_G3</v>
      </c>
    </row>
    <row r="94" spans="2:33" hidden="1" x14ac:dyDescent="0.25">
      <c r="B94" s="5"/>
      <c r="C94" s="96" t="str">
        <f>IF(LEN($S$65)=1,"v","vv")</f>
        <v>vv</v>
      </c>
      <c r="D94" s="111" t="s">
        <v>1884</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1963</v>
      </c>
      <c r="Y94" s="595" t="str">
        <f ca="1">Taal02!$B$40</f>
        <v>ZZZ_land_G4</v>
      </c>
      <c r="Z94" s="595" t="s">
        <v>1964</v>
      </c>
      <c r="AA94" s="600" t="str">
        <f ca="1">RIGHT(LEFT(Taal02!$B$48,(ROW()-66)*2),2)</f>
        <v>G4</v>
      </c>
      <c r="AB94" s="358" t="str">
        <f t="shared" ca="1" si="1"/>
        <v>ZZZ_land_G4</v>
      </c>
      <c r="AC94" s="598" t="str">
        <f t="shared" ca="1" si="3"/>
        <v>ZD</v>
      </c>
      <c r="AD94" s="275" t="s">
        <v>1963</v>
      </c>
      <c r="AE94" s="275" t="str">
        <f t="shared" ca="1" si="2"/>
        <v>ZZZ_land_G4</v>
      </c>
      <c r="AF94" s="358" t="str">
        <f t="shared" si="4"/>
        <v>ZD</v>
      </c>
      <c r="AG94" s="275" t="str">
        <f t="shared" ca="1" si="5"/>
        <v>ZZZ_land_G4</v>
      </c>
    </row>
    <row r="95" spans="2:33" hidden="1" x14ac:dyDescent="0.25">
      <c r="B95" s="5"/>
      <c r="C95" s="96" t="str">
        <f>IF(LEN($S$65)=1,"w","ww")</f>
        <v>ww</v>
      </c>
      <c r="D95" s="111" t="s">
        <v>1884</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1965</v>
      </c>
      <c r="Y95" s="595" t="str">
        <f ca="1">Taal02!$B$42</f>
        <v>ZZZ_land_H1</v>
      </c>
      <c r="Z95" s="595" t="s">
        <v>1966</v>
      </c>
      <c r="AA95" s="600" t="str">
        <f ca="1">RIGHT(LEFT(Taal02!$B$48,(ROW()-66)*2),2)</f>
        <v>H1</v>
      </c>
      <c r="AB95" s="358" t="str">
        <f t="shared" ca="1" si="1"/>
        <v>ZZZ_land_H1</v>
      </c>
      <c r="AC95" s="598" t="str">
        <f t="shared" ca="1" si="3"/>
        <v>ZE</v>
      </c>
      <c r="AD95" s="275" t="s">
        <v>1965</v>
      </c>
      <c r="AE95" s="275" t="str">
        <f t="shared" ca="1" si="2"/>
        <v>ZZZ_land_H1</v>
      </c>
      <c r="AF95" s="358" t="str">
        <f t="shared" si="4"/>
        <v>ZE</v>
      </c>
      <c r="AG95" s="275" t="str">
        <f t="shared" ca="1" si="5"/>
        <v>ZZZ_land_H1</v>
      </c>
    </row>
    <row r="96" spans="2:33" hidden="1" x14ac:dyDescent="0.25">
      <c r="B96" s="5"/>
      <c r="C96" s="96" t="s">
        <v>1967</v>
      </c>
      <c r="D96" s="111" t="s">
        <v>1884</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1968</v>
      </c>
      <c r="Y96" s="595" t="str">
        <f ca="1">Taal02!$B$43</f>
        <v>ZZZ_land_H2</v>
      </c>
      <c r="Z96" s="595" t="s">
        <v>1969</v>
      </c>
      <c r="AA96" s="600" t="str">
        <f ca="1">RIGHT(LEFT(Taal02!$B$48,(ROW()-66)*2),2)</f>
        <v>H2</v>
      </c>
      <c r="AB96" s="358" t="str">
        <f t="shared" ca="1" si="1"/>
        <v>ZZZ_land_H2</v>
      </c>
      <c r="AC96" s="598" t="str">
        <f t="shared" ca="1" si="3"/>
        <v>ZF</v>
      </c>
      <c r="AD96" s="275" t="s">
        <v>1968</v>
      </c>
      <c r="AE96" s="275" t="str">
        <f t="shared" ca="1" si="2"/>
        <v>ZZZ_land_H2</v>
      </c>
      <c r="AF96" s="358" t="str">
        <f t="shared" si="4"/>
        <v>ZF</v>
      </c>
      <c r="AG96" s="275" t="str">
        <f t="shared" ca="1" si="5"/>
        <v>ZZZ_land_H2</v>
      </c>
    </row>
    <row r="97" spans="2:33" hidden="1" x14ac:dyDescent="0.25">
      <c r="B97" s="5"/>
      <c r="C97" s="96" t="s">
        <v>1970</v>
      </c>
      <c r="D97" s="111" t="s">
        <v>1884</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1971</v>
      </c>
      <c r="Y97" s="595" t="str">
        <f ca="1">Taal02!$B$44</f>
        <v>ZZZ_land_H3</v>
      </c>
      <c r="Z97" s="595" t="s">
        <v>1972</v>
      </c>
      <c r="AA97" s="600" t="str">
        <f ca="1">RIGHT(LEFT(Taal02!$B$48,(ROW()-66)*2),2)</f>
        <v>H3</v>
      </c>
      <c r="AB97" s="358" t="str">
        <f t="shared" ca="1" si="1"/>
        <v>ZZZ_land_H3</v>
      </c>
      <c r="AC97" s="598" t="str">
        <f t="shared" ca="1" si="3"/>
        <v>ZG</v>
      </c>
      <c r="AD97" s="275" t="s">
        <v>1971</v>
      </c>
      <c r="AE97" s="275" t="str">
        <f t="shared" ca="1" si="2"/>
        <v>ZZZ_land_H3</v>
      </c>
      <c r="AF97" s="358" t="str">
        <f t="shared" si="4"/>
        <v>ZG</v>
      </c>
      <c r="AG97" s="275" t="str">
        <f t="shared" ca="1" si="5"/>
        <v>ZZZ_land_H3</v>
      </c>
    </row>
    <row r="98" spans="2:33" hidden="1" x14ac:dyDescent="0.25">
      <c r="B98" s="5"/>
      <c r="C98" s="96" t="s">
        <v>1973</v>
      </c>
      <c r="D98" s="111" t="s">
        <v>1884</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1974</v>
      </c>
      <c r="Y98" s="595" t="str">
        <f ca="1">Taal02!$B$45</f>
        <v>ZZZ_land_H4</v>
      </c>
      <c r="Z98" s="595" t="s">
        <v>1975</v>
      </c>
      <c r="AA98" s="600" t="str">
        <f ca="1">RIGHT(LEFT(Taal02!$B$48,(ROW()-66)*2),2)</f>
        <v>H4</v>
      </c>
      <c r="AB98" s="358" t="str">
        <f t="shared" ca="1" si="1"/>
        <v>ZZZ_land_H4</v>
      </c>
      <c r="AC98" s="598" t="str">
        <f t="shared" ca="1" si="3"/>
        <v>ZH</v>
      </c>
      <c r="AD98" s="275" t="s">
        <v>1974</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1976</v>
      </c>
      <c r="Y99" s="48"/>
      <c r="Z99" s="596"/>
      <c r="AA99" s="1034" t="s">
        <v>1977</v>
      </c>
      <c r="AB99" s="1035"/>
      <c r="AC99" s="1050"/>
      <c r="AD99" s="1034" t="s">
        <v>1978</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topLeftCell="A26"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75"/>
      <c r="P1" s="1075"/>
      <c r="R1" s="1082"/>
      <c r="S1" s="1082"/>
      <c r="T1" s="5"/>
      <c r="U1" s="5"/>
    </row>
    <row r="2" spans="1:26" ht="15" customHeight="1" x14ac:dyDescent="0.25">
      <c r="B2" s="105"/>
      <c r="C2" s="1076" t="str">
        <f>IF(Q82*Q83*Q84=1,IF(Q85=Q86,"","DE INGEVOERDE REGLEMENTCODE IS NIET GELDIG VOOR HET HUIDIGE FORMULIER"),Voorblad!L81)</f>
        <v/>
      </c>
      <c r="D2" s="1076"/>
      <c r="E2" s="1076"/>
      <c r="F2" s="1076"/>
      <c r="G2" s="1076"/>
      <c r="H2" s="1076"/>
      <c r="I2" s="1076"/>
      <c r="J2" s="1076"/>
      <c r="K2" s="1076"/>
      <c r="L2" s="1076"/>
      <c r="M2" s="1076"/>
      <c r="N2" s="1076"/>
      <c r="O2" s="1057"/>
      <c r="P2" s="1057"/>
      <c r="R2" s="1082"/>
      <c r="S2" s="1082"/>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1979</v>
      </c>
      <c r="R3" s="1082"/>
      <c r="S3" s="1082"/>
      <c r="T3" s="5"/>
      <c r="U3" s="5"/>
      <c r="V3" s="1033"/>
      <c r="W3" s="1033"/>
      <c r="X3" s="1033"/>
      <c r="Y3" s="1033"/>
      <c r="Z3" s="1033"/>
    </row>
    <row r="4" spans="1:26" ht="15" customHeight="1" x14ac:dyDescent="0.25">
      <c r="B4" s="17"/>
      <c r="C4" s="17"/>
      <c r="D4" s="17"/>
      <c r="E4" s="17"/>
      <c r="F4" s="17"/>
      <c r="G4" s="17"/>
      <c r="H4" s="17"/>
      <c r="I4" s="17"/>
      <c r="J4" s="17"/>
      <c r="K4" s="17"/>
      <c r="L4" s="17"/>
      <c r="M4" s="17"/>
      <c r="N4" s="17"/>
      <c r="O4" s="1057"/>
      <c r="P4" s="1057"/>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57"/>
      <c r="P5" s="1057"/>
      <c r="R5" s="38" t="str">
        <f ca="1">H92&amp;" "&amp;I92</f>
        <v>10 juni</v>
      </c>
      <c r="S5" s="49" t="s">
        <v>1980</v>
      </c>
      <c r="T5" s="5"/>
      <c r="U5" s="5"/>
    </row>
    <row r="6" spans="1:26" ht="14.1" customHeight="1" x14ac:dyDescent="0.25">
      <c r="B6" s="17"/>
      <c r="C6" s="949"/>
      <c r="D6" s="17"/>
      <c r="E6" s="17"/>
      <c r="F6" s="17"/>
      <c r="G6" s="17"/>
      <c r="H6" s="17"/>
      <c r="I6" s="17"/>
      <c r="J6" s="17"/>
      <c r="K6" s="17"/>
      <c r="L6" s="17"/>
      <c r="M6" s="17"/>
      <c r="N6" s="60"/>
      <c r="O6" s="1057"/>
      <c r="P6" s="1057"/>
      <c r="R6" s="38" t="str">
        <f>IF(F82="","NEE",H91)</f>
        <v>JA</v>
      </c>
      <c r="S6" s="49" t="s">
        <v>1981</v>
      </c>
      <c r="T6" s="5"/>
      <c r="U6" s="5"/>
    </row>
    <row r="7" spans="1:26" ht="14.1" customHeight="1" x14ac:dyDescent="0.25">
      <c r="B7" s="17"/>
      <c r="C7" s="949"/>
      <c r="D7" s="1077" t="str">
        <f ca="1">SUBSTITUTE(SUBSTITUTE(SUBSTITUTE(SUBSTITUTE(IF(R7="JA",Taal03!B9,Taal03!B10),"$$$",SUBSTITUTE(H94,"*#"," ")),"&amp;&amp;&amp;",H95),"###",R5),"() ","")</f>
        <v>De Deelnamecode en/of het Deelname Formulier dienen voor 10 juni ingeleverd te worden bij Jamilo (info@jamilo.nl).</v>
      </c>
      <c r="E7" s="1077"/>
      <c r="F7" s="1077"/>
      <c r="G7" s="1077"/>
      <c r="H7" s="1077"/>
      <c r="I7" s="1077"/>
      <c r="J7" s="1077"/>
      <c r="K7" s="1077"/>
      <c r="L7" s="1077"/>
      <c r="M7" s="1077"/>
      <c r="N7" s="60"/>
      <c r="O7" s="1057"/>
      <c r="P7" s="1057"/>
      <c r="R7" s="38" t="str">
        <f>IF(F82="","NEE",IF(G94="00","NEE","JA"))</f>
        <v>JA</v>
      </c>
      <c r="S7" s="49" t="s">
        <v>1982</v>
      </c>
      <c r="T7" s="5"/>
      <c r="U7" s="5"/>
    </row>
    <row r="8" spans="1:26" ht="14.1" customHeight="1" x14ac:dyDescent="0.25">
      <c r="B8" s="17"/>
      <c r="C8" s="949"/>
      <c r="D8" s="1077"/>
      <c r="E8" s="1077"/>
      <c r="F8" s="1077"/>
      <c r="G8" s="1077"/>
      <c r="H8" s="1077"/>
      <c r="I8" s="1077"/>
      <c r="J8" s="1077"/>
      <c r="K8" s="1077"/>
      <c r="L8" s="1077"/>
      <c r="M8" s="1077"/>
      <c r="N8" s="60"/>
      <c r="O8" s="1057"/>
      <c r="P8" s="1057"/>
      <c r="R8" s="38" t="str">
        <f>IF(F82="","NEE",IF(G95="00","NEE","JA"))</f>
        <v>JA</v>
      </c>
      <c r="S8" s="49" t="s">
        <v>1983</v>
      </c>
      <c r="T8" s="5"/>
      <c r="U8" s="5"/>
    </row>
    <row r="9" spans="1:26" ht="9.9499999999999993" customHeight="1" x14ac:dyDescent="0.25">
      <c r="B9" s="17"/>
      <c r="C9" s="949"/>
      <c r="D9" s="1077"/>
      <c r="E9" s="1077"/>
      <c r="F9" s="1077"/>
      <c r="G9" s="1077"/>
      <c r="H9" s="1077"/>
      <c r="I9" s="1077"/>
      <c r="J9" s="1077"/>
      <c r="K9" s="1077"/>
      <c r="L9" s="1077"/>
      <c r="M9" s="1077"/>
      <c r="N9" s="60"/>
      <c r="O9" s="1057"/>
      <c r="P9" s="1057"/>
      <c r="R9" s="5"/>
      <c r="S9" s="68"/>
      <c r="T9" s="5"/>
      <c r="U9" s="5"/>
    </row>
    <row r="10" spans="1:26" ht="14.1" customHeight="1" x14ac:dyDescent="0.25">
      <c r="B10" s="17"/>
      <c r="C10" s="949"/>
      <c r="D10" s="1077" t="e">
        <f ca="1">IF(R10="geen",Taal03!B15,SUBSTITUTE(IF(H106=0,Taal03!B16,IF(C98= "NEE",Taal03!B17,Taal03!B18)),"###",FIXED(M106,2))&amp;" "&amp;IF(R71=RIGHT(S71,2),Taal03!B19,Taal03!B20))</f>
        <v>#VALUE!</v>
      </c>
      <c r="E10" s="1077"/>
      <c r="F10" s="1077"/>
      <c r="G10" s="1077"/>
      <c r="H10" s="1077"/>
      <c r="I10" s="1077"/>
      <c r="J10" s="1077"/>
      <c r="K10" s="1077"/>
      <c r="L10" s="1077"/>
      <c r="M10" s="1077"/>
      <c r="N10" s="1078"/>
      <c r="O10" s="1057"/>
      <c r="P10" s="1057"/>
      <c r="R10" s="38" t="str">
        <f>IF(H91="JA","wel","geen")</f>
        <v>wel</v>
      </c>
      <c r="S10" s="49" t="s">
        <v>1984</v>
      </c>
      <c r="T10" s="5"/>
      <c r="U10" s="5"/>
    </row>
    <row r="11" spans="1:26" ht="9.9499999999999993" customHeight="1" x14ac:dyDescent="0.25">
      <c r="B11" s="17"/>
      <c r="C11" s="949"/>
      <c r="D11" s="1077"/>
      <c r="E11" s="1077"/>
      <c r="F11" s="1077"/>
      <c r="G11" s="1077"/>
      <c r="H11" s="1077"/>
      <c r="I11" s="1077"/>
      <c r="J11" s="1077"/>
      <c r="K11" s="1077"/>
      <c r="L11" s="1077"/>
      <c r="M11" s="1077"/>
      <c r="N11" s="1078"/>
      <c r="O11" s="1057"/>
      <c r="P11" s="1057"/>
      <c r="R11" s="5"/>
      <c r="S11" s="68"/>
      <c r="T11" s="5"/>
      <c r="U11" s="5"/>
    </row>
    <row r="12" spans="1:26" ht="14.1" customHeight="1" x14ac:dyDescent="0.25">
      <c r="B12" s="17"/>
      <c r="C12" s="949"/>
      <c r="D12" s="1077" t="str">
        <f ca="1">IF(R12="wel",Taal03!B21,Taal03!B22)</f>
        <v>Het is niet toegestaan om als deelnemer meerdere deelname formulieren in te leveren.</v>
      </c>
      <c r="E12" s="1077"/>
      <c r="F12" s="1077"/>
      <c r="G12" s="1077"/>
      <c r="H12" s="1077"/>
      <c r="I12" s="1077"/>
      <c r="J12" s="1077"/>
      <c r="K12" s="1077"/>
      <c r="L12" s="1077"/>
      <c r="M12" s="1077"/>
      <c r="N12" s="60"/>
      <c r="O12" s="1057"/>
      <c r="P12" s="1057"/>
      <c r="R12" s="38" t="str">
        <f>IF(H89="JA","wel","niet")</f>
        <v>niet</v>
      </c>
      <c r="S12" s="49" t="s">
        <v>1985</v>
      </c>
      <c r="T12" s="5"/>
      <c r="U12" s="5"/>
    </row>
    <row r="13" spans="1:26" ht="9.9499999999999993" customHeight="1" x14ac:dyDescent="0.25">
      <c r="B13" s="17"/>
      <c r="C13" s="949"/>
      <c r="D13" s="1077"/>
      <c r="E13" s="1077"/>
      <c r="F13" s="1077"/>
      <c r="G13" s="1077"/>
      <c r="H13" s="1077"/>
      <c r="I13" s="1077"/>
      <c r="J13" s="1077"/>
      <c r="K13" s="1077"/>
      <c r="L13" s="1077"/>
      <c r="M13" s="1077"/>
      <c r="N13" s="60"/>
      <c r="O13" s="1057"/>
      <c r="P13" s="1057"/>
      <c r="R13" s="5"/>
      <c r="S13" s="68"/>
      <c r="T13" s="5"/>
      <c r="U13" s="5"/>
    </row>
    <row r="14" spans="1:26" ht="14.1" customHeight="1" x14ac:dyDescent="0.25">
      <c r="B14" s="17"/>
      <c r="C14" s="949"/>
      <c r="D14" s="1077" t="str">
        <f ca="1">Taal03!B13</f>
        <v>Na de start van de openingsceremonie is het niet meer mogelijk om uw voorspellingen aan te passen.</v>
      </c>
      <c r="E14" s="1077"/>
      <c r="F14" s="1077"/>
      <c r="G14" s="1077"/>
      <c r="H14" s="1077"/>
      <c r="I14" s="1077"/>
      <c r="J14" s="1077"/>
      <c r="K14" s="1077"/>
      <c r="L14" s="1077"/>
      <c r="M14" s="1077"/>
      <c r="N14" s="60"/>
      <c r="O14" s="411"/>
      <c r="P14" s="411"/>
      <c r="R14" s="5"/>
      <c r="S14" s="68"/>
      <c r="T14" s="5"/>
      <c r="U14" s="5"/>
    </row>
    <row r="15" spans="1:26" ht="9.9499999999999993" customHeight="1" x14ac:dyDescent="0.25">
      <c r="B15" s="17"/>
      <c r="C15" s="949"/>
      <c r="D15" s="1077"/>
      <c r="E15" s="1077"/>
      <c r="F15" s="1077"/>
      <c r="G15" s="1077"/>
      <c r="H15" s="1077"/>
      <c r="I15" s="1077"/>
      <c r="J15" s="1077"/>
      <c r="K15" s="1077"/>
      <c r="L15" s="1077"/>
      <c r="M15" s="1077"/>
      <c r="N15" s="60"/>
      <c r="O15" s="411"/>
      <c r="P15" s="411"/>
      <c r="R15" s="5"/>
      <c r="S15" s="68"/>
      <c r="T15" s="5"/>
      <c r="U15" s="5"/>
    </row>
    <row r="16" spans="1:26" ht="14.1" customHeight="1" x14ac:dyDescent="0.25">
      <c r="B16" s="17"/>
      <c r="C16" s="949"/>
      <c r="D16" s="1077" t="str">
        <f ca="1">IF(G134="JA",Taal03!B23,Taal03!B24)</f>
        <v>Het is niet mogelijk om uitslagen te voorspellen waarin één land meer dan 9 doelpunten maakt. Wanneer een land toch meer dan 9 doelpunten maakt tijdens één wedstrijd zal bij de uitslag 9 doelpunten genoteerd worden.</v>
      </c>
      <c r="E16" s="1077"/>
      <c r="F16" s="1077"/>
      <c r="G16" s="1077"/>
      <c r="H16" s="1077"/>
      <c r="I16" s="1077"/>
      <c r="J16" s="1077"/>
      <c r="K16" s="1077"/>
      <c r="L16" s="1077"/>
      <c r="M16" s="1077"/>
      <c r="N16" s="60"/>
      <c r="O16" s="1057"/>
      <c r="P16" s="1057"/>
      <c r="R16" s="5"/>
      <c r="S16" s="594"/>
      <c r="T16" s="5"/>
      <c r="U16" s="5"/>
    </row>
    <row r="17" spans="1:21" ht="14.1" customHeight="1" x14ac:dyDescent="0.25">
      <c r="B17" s="17"/>
      <c r="C17" s="949"/>
      <c r="D17" s="1077"/>
      <c r="E17" s="1077"/>
      <c r="F17" s="1077"/>
      <c r="G17" s="1077"/>
      <c r="H17" s="1077"/>
      <c r="I17" s="1077"/>
      <c r="J17" s="1077"/>
      <c r="K17" s="1077"/>
      <c r="L17" s="1077"/>
      <c r="M17" s="1077"/>
      <c r="N17" s="60"/>
      <c r="O17" s="1057"/>
      <c r="P17" s="1057"/>
      <c r="R17" s="5"/>
      <c r="S17" s="235"/>
      <c r="T17" s="5"/>
      <c r="U17" s="5"/>
    </row>
    <row r="18" spans="1:21" ht="9.9499999999999993" customHeight="1" x14ac:dyDescent="0.25">
      <c r="B18" s="17"/>
      <c r="C18" s="949"/>
      <c r="D18" s="1077"/>
      <c r="E18" s="1077"/>
      <c r="F18" s="1077"/>
      <c r="G18" s="1077"/>
      <c r="H18" s="1077"/>
      <c r="I18" s="1077"/>
      <c r="J18" s="1077"/>
      <c r="K18" s="1077"/>
      <c r="L18" s="1077"/>
      <c r="M18" s="1077"/>
      <c r="N18" s="60"/>
      <c r="O18" s="1057"/>
      <c r="P18" s="1057"/>
      <c r="R18" s="5"/>
      <c r="S18" s="10"/>
      <c r="T18" s="5"/>
      <c r="U18" s="5"/>
    </row>
    <row r="19" spans="1:21" ht="14.1" customHeight="1" x14ac:dyDescent="0.25">
      <c r="B19" s="17"/>
      <c r="C19" s="949"/>
      <c r="D19" s="1077" t="str">
        <f ca="1">IF(R19=1,Taal03!B25,Taal03!B26)&amp;" "&amp;Taal03!B27</f>
        <v>In de finalewedstrijden wordt de uitslag aangehouden die bereikt is na het verstrijken van de reguliere speeltijd inclusief de blessuretijd. Een gelijkspel in de finalewedstrijden is dus ook mogelijk.</v>
      </c>
      <c r="E19" s="1077"/>
      <c r="F19" s="1077"/>
      <c r="G19" s="1077"/>
      <c r="H19" s="1077"/>
      <c r="I19" s="1077"/>
      <c r="J19" s="1077"/>
      <c r="K19" s="1077"/>
      <c r="L19" s="1077"/>
      <c r="M19" s="1077"/>
      <c r="N19" s="60"/>
      <c r="O19" s="1057"/>
      <c r="P19" s="1057"/>
      <c r="R19" s="38">
        <f>H90</f>
        <v>1</v>
      </c>
      <c r="S19" s="49" t="s">
        <v>1986</v>
      </c>
      <c r="T19" s="5"/>
      <c r="U19" s="5"/>
    </row>
    <row r="20" spans="1:21" ht="14.1" customHeight="1" x14ac:dyDescent="0.25">
      <c r="B20" s="17"/>
      <c r="C20" s="949"/>
      <c r="D20" s="1077"/>
      <c r="E20" s="1077"/>
      <c r="F20" s="1077"/>
      <c r="G20" s="1077"/>
      <c r="H20" s="1077"/>
      <c r="I20" s="1077"/>
      <c r="J20" s="1077"/>
      <c r="K20" s="1077"/>
      <c r="L20" s="1077"/>
      <c r="M20" s="1077"/>
      <c r="N20" s="60"/>
      <c r="O20" s="1057"/>
      <c r="P20" s="1057"/>
      <c r="R20" s="5"/>
      <c r="S20" s="10"/>
      <c r="T20" s="5"/>
      <c r="U20" s="5"/>
    </row>
    <row r="21" spans="1:21" ht="9.9499999999999993" customHeight="1" x14ac:dyDescent="0.25">
      <c r="B21" s="17"/>
      <c r="C21" s="949"/>
      <c r="D21" s="1077"/>
      <c r="E21" s="1077"/>
      <c r="F21" s="1077"/>
      <c r="G21" s="1077"/>
      <c r="H21" s="1077"/>
      <c r="I21" s="1077"/>
      <c r="J21" s="1077"/>
      <c r="K21" s="1077"/>
      <c r="L21" s="1077"/>
      <c r="M21" s="1077"/>
      <c r="N21" s="60"/>
      <c r="O21" s="1057"/>
      <c r="P21" s="1057"/>
      <c r="R21" s="5"/>
      <c r="S21" s="10"/>
      <c r="T21" s="5"/>
      <c r="U21" s="5"/>
    </row>
    <row r="22" spans="1:21" ht="14.1" customHeight="1" x14ac:dyDescent="0.25">
      <c r="B22" s="17"/>
      <c r="C22" s="949"/>
      <c r="D22" s="1077" t="str">
        <f ca="1">Taal03!B28</f>
        <v>In gevallen waar het reglement niet in voorziet, beslist de wedstrijdleiding.</v>
      </c>
      <c r="E22" s="1077"/>
      <c r="F22" s="1077"/>
      <c r="G22" s="1077"/>
      <c r="H22" s="1077"/>
      <c r="I22" s="1077"/>
      <c r="J22" s="1077"/>
      <c r="K22" s="1077"/>
      <c r="L22" s="1077"/>
      <c r="M22" s="1077"/>
      <c r="N22" s="60"/>
      <c r="O22" s="1057"/>
      <c r="P22" s="1057"/>
      <c r="R22" s="5"/>
      <c r="S22" s="10"/>
      <c r="T22" s="5"/>
      <c r="U22" s="5"/>
    </row>
    <row r="23" spans="1:21" ht="9.9499999999999993" customHeight="1" x14ac:dyDescent="0.25">
      <c r="B23" s="17"/>
      <c r="C23" s="949"/>
      <c r="D23" s="1077"/>
      <c r="E23" s="1077"/>
      <c r="F23" s="1077"/>
      <c r="G23" s="1077"/>
      <c r="H23" s="1077"/>
      <c r="I23" s="1077"/>
      <c r="J23" s="1077"/>
      <c r="K23" s="1077"/>
      <c r="L23" s="1077"/>
      <c r="M23" s="1077"/>
      <c r="N23" s="60"/>
      <c r="O23" s="1057"/>
      <c r="P23" s="1057"/>
      <c r="R23" s="109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95"/>
      <c r="T23" s="1095"/>
      <c r="U23" s="1095"/>
    </row>
    <row r="24" spans="1:21" ht="14.1" customHeight="1" x14ac:dyDescent="0.25">
      <c r="B24" s="17"/>
      <c r="C24" s="949"/>
      <c r="D24" s="1077" t="str">
        <f ca="1">Taal03!B29</f>
        <v>Door het inleveren van het deelname formulier gaat u akkoord met dit wedstrijdreglement.</v>
      </c>
      <c r="E24" s="1077"/>
      <c r="F24" s="1077"/>
      <c r="G24" s="1077"/>
      <c r="H24" s="1077"/>
      <c r="I24" s="1077"/>
      <c r="J24" s="1077"/>
      <c r="K24" s="1077"/>
      <c r="L24" s="1077"/>
      <c r="M24" s="1077"/>
      <c r="N24" s="60"/>
      <c r="O24" s="1057"/>
      <c r="P24" s="1057"/>
      <c r="R24" s="1095"/>
      <c r="S24" s="1095"/>
      <c r="T24" s="1095"/>
      <c r="U24" s="1095"/>
    </row>
    <row r="25" spans="1:21" ht="14.1" customHeight="1" x14ac:dyDescent="0.25">
      <c r="B25" s="17"/>
      <c r="C25" s="950"/>
      <c r="D25" s="1108"/>
      <c r="E25" s="1108"/>
      <c r="F25" s="1108"/>
      <c r="G25" s="1108"/>
      <c r="H25" s="1108"/>
      <c r="I25" s="1108"/>
      <c r="J25" s="1108"/>
      <c r="K25" s="1108"/>
      <c r="L25" s="1108"/>
      <c r="M25" s="1108"/>
      <c r="N25" s="952"/>
      <c r="O25" s="1057"/>
      <c r="P25" s="1057"/>
      <c r="R25" s="1095"/>
      <c r="S25" s="1095"/>
      <c r="T25" s="1095"/>
      <c r="U25" s="1095"/>
    </row>
    <row r="26" spans="1:21" ht="15" customHeight="1" x14ac:dyDescent="0.25">
      <c r="B26" s="17"/>
      <c r="C26" s="17"/>
      <c r="D26" s="17"/>
      <c r="E26" s="17"/>
      <c r="F26" s="17"/>
      <c r="G26" s="17"/>
      <c r="H26" s="17"/>
      <c r="I26" s="17"/>
      <c r="J26" s="17"/>
      <c r="K26" s="17"/>
      <c r="L26" s="17"/>
      <c r="M26" s="17"/>
      <c r="N26" s="17"/>
      <c r="O26" s="1057"/>
      <c r="P26" s="1057"/>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57"/>
      <c r="P27" s="1057"/>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57"/>
      <c r="P28" s="1057"/>
      <c r="R28" s="236"/>
      <c r="S28" s="10">
        <f ca="1">IF(U26="",999,900)</f>
        <v>900</v>
      </c>
      <c r="T28" s="10" t="str">
        <f>""</f>
        <v/>
      </c>
      <c r="U28" s="10" t="str">
        <f>""</f>
        <v/>
      </c>
    </row>
    <row r="29" spans="1:21" ht="14.1" customHeight="1" x14ac:dyDescent="0.25">
      <c r="A29" s="392">
        <v>3</v>
      </c>
      <c r="B29" s="17"/>
      <c r="C29" s="949"/>
      <c r="D29" s="57" t="str">
        <f t="shared" ref="D29:D68" ca="1" si="0">VLOOKUP($R29,$S$26:$U$69,2,FALSE)</f>
        <v/>
      </c>
      <c r="E29" s="1057" t="str">
        <f t="shared" ref="E29:E68" ca="1" si="1">VLOOKUP($R29,$S$26:$U$69,3,FALSE)</f>
        <v>HET VOORSPELLEN VAN DE LANDEN IN DE FINALEWEDSTRIJDEN</v>
      </c>
      <c r="F29" s="1057"/>
      <c r="G29" s="1057"/>
      <c r="H29" s="1057"/>
      <c r="I29" s="1057"/>
      <c r="J29" s="1057"/>
      <c r="K29" s="1057"/>
      <c r="L29" s="1057"/>
      <c r="M29" s="1057"/>
      <c r="N29" s="1058"/>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57" t="str">
        <f t="shared" ca="1" si="1"/>
        <v>Punten voor het goed voorspellen van de winnaar van het EK.</v>
      </c>
      <c r="F30" s="1057"/>
      <c r="G30" s="1057"/>
      <c r="H30" s="1057"/>
      <c r="I30" s="1057"/>
      <c r="J30" s="1057"/>
      <c r="K30" s="1057"/>
      <c r="L30" s="1057"/>
      <c r="M30" s="1057"/>
      <c r="N30" s="1058"/>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57" t="str">
        <f t="shared" ca="1" si="1"/>
        <v/>
      </c>
      <c r="F31" s="1057"/>
      <c r="G31" s="1057"/>
      <c r="H31" s="1057"/>
      <c r="I31" s="1057"/>
      <c r="J31" s="1057"/>
      <c r="K31" s="1057"/>
      <c r="L31" s="1057"/>
      <c r="M31" s="1057"/>
      <c r="N31" s="1058"/>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57" t="str">
        <f t="shared" ca="1" si="1"/>
        <v>Punten voor elk goed voorspelde land in de finale (het land dient op de juiste positie te staan).</v>
      </c>
      <c r="F32" s="1057"/>
      <c r="G32" s="1057"/>
      <c r="H32" s="1057"/>
      <c r="I32" s="1057"/>
      <c r="J32" s="1057"/>
      <c r="K32" s="1057"/>
      <c r="L32" s="1057"/>
      <c r="M32" s="1057"/>
      <c r="N32" s="1058"/>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57" t="str">
        <f t="shared" ca="1" si="1"/>
        <v>Punten voor elk goed voorspelde land in de halve finales (het land dient op de juiste positie te staan).</v>
      </c>
      <c r="F33" s="1057"/>
      <c r="G33" s="1057"/>
      <c r="H33" s="1057"/>
      <c r="I33" s="1057"/>
      <c r="J33" s="1057"/>
      <c r="K33" s="1057"/>
      <c r="L33" s="1057"/>
      <c r="M33" s="1057"/>
      <c r="N33" s="1058"/>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57" t="str">
        <f t="shared" ca="1" si="1"/>
        <v>Punten voor elk goed voorspelde land in de kwartfinales (het land dient op de juiste positie te staan).</v>
      </c>
      <c r="F34" s="1057"/>
      <c r="G34" s="1057"/>
      <c r="H34" s="1057"/>
      <c r="I34" s="1057"/>
      <c r="J34" s="1057"/>
      <c r="K34" s="1057"/>
      <c r="L34" s="1057"/>
      <c r="M34" s="1057"/>
      <c r="N34" s="1058"/>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57" t="str">
        <f t="shared" ca="1" si="1"/>
        <v>Punten voor elk goed voorspelde land in de achtste finales (het land dient op de juiste positie te staan).</v>
      </c>
      <c r="F35" s="1057"/>
      <c r="G35" s="1057"/>
      <c r="H35" s="1057"/>
      <c r="I35" s="1057"/>
      <c r="J35" s="1057"/>
      <c r="K35" s="1057"/>
      <c r="L35" s="1057"/>
      <c r="M35" s="1057"/>
      <c r="N35" s="1058"/>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57" t="str">
        <f t="shared" ca="1" si="1"/>
        <v/>
      </c>
      <c r="F36" s="1057"/>
      <c r="G36" s="1057"/>
      <c r="H36" s="1057"/>
      <c r="I36" s="1057"/>
      <c r="J36" s="1057"/>
      <c r="K36" s="1057"/>
      <c r="L36" s="1057"/>
      <c r="M36" s="1057"/>
      <c r="N36" s="1058"/>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57" t="str">
        <f t="shared" ca="1" si="1"/>
        <v>Heeft men het land niet op de juiste positie voorspeld maar het heeft wel de betreffende finaleronde</v>
      </c>
      <c r="F37" s="1057"/>
      <c r="G37" s="1057"/>
      <c r="H37" s="1057"/>
      <c r="I37" s="1057"/>
      <c r="J37" s="1057"/>
      <c r="K37" s="1057"/>
      <c r="L37" s="1057"/>
      <c r="M37" s="1057"/>
      <c r="N37" s="1058"/>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57" t="str">
        <f t="shared" ca="1" si="1"/>
        <v>behaald dan ontvangt men alsnog de helft van het aantal punten voor het juist voorspellen van het land.</v>
      </c>
      <c r="F38" s="1057"/>
      <c r="G38" s="1057"/>
      <c r="H38" s="1057"/>
      <c r="I38" s="1057"/>
      <c r="J38" s="1057"/>
      <c r="K38" s="1057"/>
      <c r="L38" s="1057"/>
      <c r="M38" s="1057"/>
      <c r="N38" s="1058"/>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57" t="str">
        <f t="shared" ca="1" si="1"/>
        <v>Het is niet toegestaan om een land meerdere keren te voorspellen in één finaleronde.</v>
      </c>
      <c r="F39" s="1057"/>
      <c r="G39" s="1057"/>
      <c r="H39" s="1057"/>
      <c r="I39" s="1057"/>
      <c r="J39" s="1057"/>
      <c r="K39" s="1057"/>
      <c r="L39" s="1057"/>
      <c r="M39" s="1057"/>
      <c r="N39" s="1058"/>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57" t="str">
        <f t="shared" ca="1" si="1"/>
        <v>Punten voor het goed voorspellen van een land in de finaleronden worden pas meegeteld op het moment dat</v>
      </c>
      <c r="F40" s="1057"/>
      <c r="G40" s="1057"/>
      <c r="H40" s="1057"/>
      <c r="I40" s="1057"/>
      <c r="J40" s="1057"/>
      <c r="K40" s="1057"/>
      <c r="L40" s="1057"/>
      <c r="M40" s="1057"/>
      <c r="N40" s="1058"/>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57" t="str">
        <f t="shared" ca="1" si="1"/>
        <v>de uitslag van de betreffende wedstrijd bekend is of als het voorspelde land zijn wedstrijd heeft gespeeld.</v>
      </c>
      <c r="F41" s="1057"/>
      <c r="G41" s="1057"/>
      <c r="H41" s="1057"/>
      <c r="I41" s="1057"/>
      <c r="J41" s="1057"/>
      <c r="K41" s="1057"/>
      <c r="L41" s="1057"/>
      <c r="M41" s="1057"/>
      <c r="N41" s="1058"/>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57" t="str">
        <f t="shared" ca="1" si="1"/>
        <v/>
      </c>
      <c r="F42" s="1057"/>
      <c r="G42" s="1057"/>
      <c r="H42" s="1057"/>
      <c r="I42" s="1057"/>
      <c r="J42" s="1057"/>
      <c r="K42" s="1057"/>
      <c r="L42" s="1057"/>
      <c r="M42" s="1057"/>
      <c r="N42" s="1058"/>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57" t="str">
        <f t="shared" ca="1" si="1"/>
        <v>HET VOORSPELLEN VAN DE EINDSTAND IN DE GROEP</v>
      </c>
      <c r="F43" s="1057"/>
      <c r="G43" s="1057"/>
      <c r="H43" s="1057"/>
      <c r="I43" s="1057"/>
      <c r="J43" s="1057"/>
      <c r="K43" s="1057"/>
      <c r="L43" s="1057"/>
      <c r="M43" s="1057"/>
      <c r="N43" s="1058"/>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57" t="str">
        <f t="shared" ca="1" si="1"/>
        <v>Punten voor elk goed voorspelde land bij de eindstand in de groep.</v>
      </c>
      <c r="F44" s="1057"/>
      <c r="G44" s="1057"/>
      <c r="H44" s="1057"/>
      <c r="I44" s="1057"/>
      <c r="J44" s="1057"/>
      <c r="K44" s="1057"/>
      <c r="L44" s="1057"/>
      <c r="M44" s="1057"/>
      <c r="N44" s="1058"/>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57" t="str">
        <f t="shared" ca="1" si="1"/>
        <v>Elk land mag maar één keer ingevuld worden bij de voorspelling van de eindstand in de groep.</v>
      </c>
      <c r="F45" s="1057"/>
      <c r="G45" s="1057"/>
      <c r="H45" s="1057"/>
      <c r="I45" s="1057"/>
      <c r="J45" s="1057"/>
      <c r="K45" s="1057"/>
      <c r="L45" s="1057"/>
      <c r="M45" s="1057"/>
      <c r="N45" s="1058"/>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57" t="str">
        <f t="shared" ca="1" si="1"/>
        <v>De punten voor elke juiste voorspelling worden pas opgeteld als de laatste wedstrijd van de groep is gespeeld.</v>
      </c>
      <c r="F46" s="1057"/>
      <c r="G46" s="1057"/>
      <c r="H46" s="1057"/>
      <c r="I46" s="1057"/>
      <c r="J46" s="1057"/>
      <c r="K46" s="1057"/>
      <c r="L46" s="1057"/>
      <c r="M46" s="1057"/>
      <c r="N46" s="1058"/>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57" t="str">
        <f t="shared" ca="1" si="1"/>
        <v/>
      </c>
      <c r="F47" s="1057"/>
      <c r="G47" s="1057"/>
      <c r="H47" s="1057"/>
      <c r="I47" s="1057"/>
      <c r="J47" s="1057"/>
      <c r="K47" s="1057"/>
      <c r="L47" s="1057"/>
      <c r="M47" s="1057"/>
      <c r="N47" s="1058"/>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57" t="str">
        <f t="shared" ca="1" si="1"/>
        <v>HET VOORSPELLEN VAN DE TOTO EN DE EINDSTAND</v>
      </c>
      <c r="F48" s="1057"/>
      <c r="G48" s="1057"/>
      <c r="H48" s="1057"/>
      <c r="I48" s="1057"/>
      <c r="J48" s="1057"/>
      <c r="K48" s="1057"/>
      <c r="L48" s="1057"/>
      <c r="M48" s="1057"/>
      <c r="N48" s="1058"/>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57" t="str">
        <f t="shared" ca="1" si="1"/>
        <v>Punten voor het goed voorspellen van de TOTO (winst / verlies of gelijkspel).</v>
      </c>
      <c r="F49" s="1057"/>
      <c r="G49" s="1057"/>
      <c r="H49" s="1057"/>
      <c r="I49" s="1057"/>
      <c r="J49" s="1057"/>
      <c r="K49" s="1057"/>
      <c r="L49" s="1057"/>
      <c r="M49" s="1057"/>
      <c r="N49" s="1058"/>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57" t="str">
        <f t="shared" ca="1" si="1"/>
        <v>Punt voor het goed voorspellen van het aantal gescoorde doelpunten per spelend team.</v>
      </c>
      <c r="F50" s="1057"/>
      <c r="G50" s="1057"/>
      <c r="H50" s="1057"/>
      <c r="I50" s="1057"/>
      <c r="J50" s="1057"/>
      <c r="K50" s="1057"/>
      <c r="L50" s="1057"/>
      <c r="M50" s="1057"/>
      <c r="N50" s="1058"/>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57" t="str">
        <f t="shared" ca="1" si="1"/>
        <v>Bij de finalewedstrijden is het niet noodzakelijk om de landen juist voorspeld te hebben om aanspraak te maken</v>
      </c>
      <c r="F51" s="1057"/>
      <c r="G51" s="1057"/>
      <c r="H51" s="1057"/>
      <c r="I51" s="1057"/>
      <c r="J51" s="1057"/>
      <c r="K51" s="1057"/>
      <c r="L51" s="1057"/>
      <c r="M51" s="1057"/>
      <c r="N51" s="1058"/>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57" t="str">
        <f t="shared" ca="1" si="1"/>
        <v>op de punten voor het juist voorspellen van de TOTO en/of eindstand.</v>
      </c>
      <c r="F52" s="1057"/>
      <c r="G52" s="1057"/>
      <c r="H52" s="1057"/>
      <c r="I52" s="1057"/>
      <c r="J52" s="1057"/>
      <c r="K52" s="1057"/>
      <c r="L52" s="1057"/>
      <c r="M52" s="1057"/>
      <c r="N52" s="1058"/>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57" t="str">
        <f t="shared" ca="1" si="1"/>
        <v/>
      </c>
      <c r="F53" s="1057"/>
      <c r="G53" s="1057"/>
      <c r="H53" s="1057"/>
      <c r="I53" s="1057"/>
      <c r="J53" s="1057"/>
      <c r="K53" s="1057"/>
      <c r="L53" s="1057"/>
      <c r="M53" s="1057"/>
      <c r="N53" s="1058"/>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57" t="str">
        <f t="shared" ca="1" si="1"/>
        <v/>
      </c>
      <c r="F54" s="1057"/>
      <c r="G54" s="1057"/>
      <c r="H54" s="1057"/>
      <c r="I54" s="1057"/>
      <c r="J54" s="1057"/>
      <c r="K54" s="1057"/>
      <c r="L54" s="1057"/>
      <c r="M54" s="1057"/>
      <c r="N54" s="1058"/>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57" t="str">
        <f t="shared" ca="1" si="1"/>
        <v/>
      </c>
      <c r="F55" s="1057"/>
      <c r="G55" s="1057"/>
      <c r="H55" s="1057"/>
      <c r="I55" s="1057"/>
      <c r="J55" s="1057"/>
      <c r="K55" s="1057"/>
      <c r="L55" s="1057"/>
      <c r="M55" s="1057"/>
      <c r="N55" s="1058"/>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57" t="str">
        <f t="shared" ca="1" si="1"/>
        <v/>
      </c>
      <c r="F56" s="1057"/>
      <c r="G56" s="1057"/>
      <c r="H56" s="1057"/>
      <c r="I56" s="1057"/>
      <c r="J56" s="1057"/>
      <c r="K56" s="1057"/>
      <c r="L56" s="1057"/>
      <c r="M56" s="1057"/>
      <c r="N56" s="1058"/>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57" t="str">
        <f t="shared" ca="1" si="1"/>
        <v/>
      </c>
      <c r="F57" s="1057"/>
      <c r="G57" s="1057"/>
      <c r="H57" s="1057"/>
      <c r="I57" s="1057"/>
      <c r="J57" s="1057"/>
      <c r="K57" s="1057"/>
      <c r="L57" s="1057"/>
      <c r="M57" s="1057"/>
      <c r="N57" s="1058"/>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57" t="str">
        <f t="shared" ca="1" si="1"/>
        <v/>
      </c>
      <c r="F58" s="1057"/>
      <c r="G58" s="1057"/>
      <c r="H58" s="1057"/>
      <c r="I58" s="1057"/>
      <c r="J58" s="1057"/>
      <c r="K58" s="1057"/>
      <c r="L58" s="1057"/>
      <c r="M58" s="1057"/>
      <c r="N58" s="1058"/>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57" t="str">
        <f t="shared" ca="1" si="1"/>
        <v/>
      </c>
      <c r="F59" s="1057"/>
      <c r="G59" s="1057"/>
      <c r="H59" s="1057"/>
      <c r="I59" s="1057"/>
      <c r="J59" s="1057"/>
      <c r="K59" s="1057"/>
      <c r="L59" s="1057"/>
      <c r="M59" s="1057"/>
      <c r="N59" s="1058"/>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57" t="str">
        <f t="shared" ca="1" si="1"/>
        <v/>
      </c>
      <c r="F60" s="1057"/>
      <c r="G60" s="1057"/>
      <c r="H60" s="1057"/>
      <c r="I60" s="1057"/>
      <c r="J60" s="1057"/>
      <c r="K60" s="1057"/>
      <c r="L60" s="1057"/>
      <c r="M60" s="1057"/>
      <c r="N60" s="1058"/>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57" t="str">
        <f t="shared" ca="1" si="1"/>
        <v/>
      </c>
      <c r="F61" s="1057"/>
      <c r="G61" s="1057"/>
      <c r="H61" s="1057"/>
      <c r="I61" s="1057"/>
      <c r="J61" s="1057"/>
      <c r="K61" s="1057"/>
      <c r="L61" s="1057"/>
      <c r="M61" s="1057"/>
      <c r="N61" s="1058"/>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57" t="str">
        <f t="shared" ca="1" si="1"/>
        <v/>
      </c>
      <c r="F62" s="1057"/>
      <c r="G62" s="1057"/>
      <c r="H62" s="1057"/>
      <c r="I62" s="1057"/>
      <c r="J62" s="1057"/>
      <c r="K62" s="1057"/>
      <c r="L62" s="1057"/>
      <c r="M62" s="1057"/>
      <c r="N62" s="1058"/>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57" t="str">
        <f t="shared" ca="1" si="1"/>
        <v/>
      </c>
      <c r="F63" s="1057"/>
      <c r="G63" s="1057"/>
      <c r="H63" s="1057"/>
      <c r="I63" s="1057"/>
      <c r="J63" s="1057"/>
      <c r="K63" s="1057"/>
      <c r="L63" s="1057"/>
      <c r="M63" s="1057"/>
      <c r="N63" s="1058"/>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57" t="str">
        <f t="shared" ca="1" si="1"/>
        <v/>
      </c>
      <c r="F64" s="1057"/>
      <c r="G64" s="1057"/>
      <c r="H64" s="1057"/>
      <c r="I64" s="1057"/>
      <c r="J64" s="1057"/>
      <c r="K64" s="1057"/>
      <c r="L64" s="1057"/>
      <c r="M64" s="1057"/>
      <c r="N64" s="1058"/>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57" t="str">
        <f t="shared" ca="1" si="1"/>
        <v/>
      </c>
      <c r="F65" s="1057"/>
      <c r="G65" s="1057"/>
      <c r="H65" s="1057"/>
      <c r="I65" s="1057"/>
      <c r="J65" s="1057"/>
      <c r="K65" s="1057"/>
      <c r="L65" s="1057"/>
      <c r="M65" s="1057"/>
      <c r="N65" s="1058"/>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57" t="str">
        <f t="shared" ca="1" si="1"/>
        <v/>
      </c>
      <c r="F66" s="1057"/>
      <c r="G66" s="1057"/>
      <c r="H66" s="1057"/>
      <c r="I66" s="1057"/>
      <c r="J66" s="1057"/>
      <c r="K66" s="1057"/>
      <c r="L66" s="1057"/>
      <c r="M66" s="1057"/>
      <c r="N66" s="1058"/>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57" t="str">
        <f t="shared" ca="1" si="1"/>
        <v/>
      </c>
      <c r="F67" s="1057"/>
      <c r="G67" s="1057"/>
      <c r="H67" s="1057"/>
      <c r="I67" s="1057"/>
      <c r="J67" s="1057"/>
      <c r="K67" s="1057"/>
      <c r="L67" s="1057"/>
      <c r="M67" s="1057"/>
      <c r="N67" s="1058"/>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57" t="str">
        <f t="shared" ca="1" si="1"/>
        <v/>
      </c>
      <c r="F68" s="1057"/>
      <c r="G68" s="1057"/>
      <c r="H68" s="1057"/>
      <c r="I68" s="1057"/>
      <c r="J68" s="1057"/>
      <c r="K68" s="1057"/>
      <c r="L68" s="1057"/>
      <c r="M68" s="1057"/>
      <c r="N68" s="1058"/>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107" t="str">
        <f ca="1">Taal03!B155</f>
        <v/>
      </c>
      <c r="E69" s="1107"/>
      <c r="F69" s="1107"/>
      <c r="G69" s="1107"/>
      <c r="H69" s="1107"/>
      <c r="I69" s="1107"/>
      <c r="J69" s="1107"/>
      <c r="K69" s="1107"/>
      <c r="L69" s="1107"/>
      <c r="M69" s="1107"/>
      <c r="N69" s="952"/>
      <c r="O69" s="1057"/>
      <c r="P69" s="1057"/>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57"/>
      <c r="P70" s="1057"/>
      <c r="R70" s="185"/>
      <c r="S70" s="183"/>
      <c r="T70" s="233"/>
      <c r="U70" s="233"/>
    </row>
    <row r="71" spans="1:21" ht="15" customHeight="1" x14ac:dyDescent="0.25">
      <c r="B71" s="17"/>
      <c r="C71" s="985"/>
      <c r="D71" s="975" t="s">
        <v>1987</v>
      </c>
      <c r="E71" s="986"/>
      <c r="F71" s="986"/>
      <c r="G71" s="986"/>
      <c r="H71" s="986"/>
      <c r="I71" s="986"/>
      <c r="J71" s="986"/>
      <c r="K71" s="986"/>
      <c r="L71" s="986"/>
      <c r="M71" s="977" t="str">
        <f>S71</f>
        <v>©2024 Eric de Jong v24.00dh</v>
      </c>
      <c r="N71" s="987"/>
      <c r="O71" s="1057"/>
      <c r="P71" s="1057"/>
      <c r="R71" s="185" t="str">
        <f>IF(OR(RIGHT(S71,1)= "a",RIGHT(S71,1)= "b",RIGHT(S71,1)= "c"),"#",LEFT(RIGHT(S71,2),1)&amp;CHAR(CODE(RIGHT(S71,1))-IF(ISEVEN(CODE(RIGHT(S71,1))),0,1)))</f>
        <v>dh</v>
      </c>
      <c r="S71" s="1104" t="s">
        <v>1988</v>
      </c>
      <c r="T71" s="1104"/>
      <c r="U71" s="1104"/>
    </row>
    <row r="72" spans="1:21" ht="15" customHeight="1" x14ac:dyDescent="0.25">
      <c r="B72" s="17"/>
      <c r="C72" s="17"/>
      <c r="D72" s="17"/>
      <c r="E72" s="17"/>
      <c r="F72" s="17"/>
      <c r="G72" s="17"/>
      <c r="H72" s="17"/>
      <c r="I72" s="17"/>
      <c r="J72" s="17"/>
      <c r="K72" s="17"/>
      <c r="L72" s="17"/>
      <c r="M72" s="17"/>
      <c r="N72" s="17"/>
      <c r="O72" s="1057"/>
      <c r="P72" s="1057"/>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1989</v>
      </c>
      <c r="D81" s="82"/>
      <c r="E81" s="82"/>
      <c r="F81" s="82"/>
      <c r="G81" s="82"/>
      <c r="H81" s="82"/>
      <c r="I81" s="82"/>
      <c r="J81" s="82"/>
      <c r="K81" s="82"/>
      <c r="L81" s="82"/>
      <c r="M81" s="100" t="s">
        <v>1990</v>
      </c>
      <c r="N81" s="1085">
        <f>IF(Q81=1,IF(OR(RIGHT(LEFT(F82,3),1)="d",RIGHT(LEFT(F82,3),1)="h"),1,0),0)</f>
        <v>1</v>
      </c>
      <c r="O81" s="1086"/>
      <c r="P81" s="1087" t="s">
        <v>1991</v>
      </c>
      <c r="Q81" s="133">
        <f>IF(AND(Q82*Q83*Q84=1,Q85=Q86),1,0)</f>
        <v>1</v>
      </c>
      <c r="R81" s="132" t="s">
        <v>1992</v>
      </c>
      <c r="S81" s="225"/>
      <c r="T81" s="132"/>
      <c r="U81" s="127"/>
    </row>
    <row r="82" spans="2:21" ht="15" hidden="1" customHeight="1" x14ac:dyDescent="0.25">
      <c r="B82" s="74"/>
      <c r="C82" s="1065" t="s">
        <v>1993</v>
      </c>
      <c r="D82" s="1065"/>
      <c r="E82" s="1066"/>
      <c r="F82" s="1067" t="str">
        <f>IF(Q81=1,IF(S87="JA",LEFT(P3,LEN(SUBSTITUTE(SUBSTITUTE(P3,CHAR(10),""),CHAR(32),""))-U89),SUBSTITUTE(SUBSTITUTE(P3,CHAR(10),""),CHAR(32),"")),"")</f>
        <v>|dh|E150614|10#624|Jamilo*#EK-pool|Jamilo|info@jamilo.nl||DD|P|##|##|500|5000|3000|2000|||||30|22|#0|16|10|#4|#5|#3|#1|##|X##|X##|X##|BANA|</v>
      </c>
      <c r="G82" s="1068"/>
      <c r="H82" s="1068"/>
      <c r="I82" s="1068"/>
      <c r="J82" s="1068"/>
      <c r="K82" s="1068"/>
      <c r="L82" s="1068"/>
      <c r="M82" s="1068"/>
      <c r="N82" s="1063">
        <f>IF(Q81=1,LEN(F82),"")</f>
        <v>139</v>
      </c>
      <c r="O82" s="1064"/>
      <c r="P82" s="1088"/>
      <c r="Q82" s="86">
        <f>IF(AND(CODE(RIGHT(M71,1))&gt;98,CODE(RIGHT(M71,1))&lt;115),IF(ISBLANK(P3),0,1),Q83)</f>
        <v>1</v>
      </c>
      <c r="R82" s="128" t="s">
        <v>1994</v>
      </c>
      <c r="S82" s="226"/>
      <c r="T82" s="128"/>
      <c r="U82" s="129"/>
    </row>
    <row r="83" spans="2:21" hidden="1" x14ac:dyDescent="0.25">
      <c r="B83" s="74"/>
      <c r="C83" s="1065" t="s">
        <v>1995</v>
      </c>
      <c r="D83" s="1065"/>
      <c r="E83" s="1066"/>
      <c r="F83" s="1074" t="str">
        <f>IF(Q81=1,LEFT(F82,N83),"")</f>
        <v>|dh|E150614|10#624|Jamilo*#EK-pool|Jamilo|info@jamilo.nl|</v>
      </c>
      <c r="G83" s="1074"/>
      <c r="H83" s="1074"/>
      <c r="I83" s="1074"/>
      <c r="J83" s="1074"/>
      <c r="K83" s="1074"/>
      <c r="L83" s="1074"/>
      <c r="M83" s="1074"/>
      <c r="N83" s="1063">
        <f>IF(Q81=1,RIGHT(LEFT(F82,7),2)+RIGHT(LEFT(F82,9),2)+RIGHT(LEFT(F82,11),2)+22,"")</f>
        <v>57</v>
      </c>
      <c r="O83" s="1064"/>
      <c r="P83" s="1088"/>
      <c r="Q83" s="86">
        <f>IF(OR(ISBLANK(P3),P3=""),0,IF(CODE(LEFT(SUBSTITUTE(SUBSTITUTE(P3,CHAR(10),""),CHAR(32),""),1))=124,1,0))</f>
        <v>1</v>
      </c>
      <c r="R83" s="128" t="s">
        <v>1996</v>
      </c>
      <c r="S83" s="226"/>
      <c r="T83" s="128"/>
      <c r="U83" s="129"/>
    </row>
    <row r="84" spans="2:21" hidden="1" x14ac:dyDescent="0.25">
      <c r="B84" s="74"/>
      <c r="C84" s="1065" t="s">
        <v>1997</v>
      </c>
      <c r="D84" s="1065"/>
      <c r="E84" s="1066"/>
      <c r="F84" s="1074" t="str">
        <f>IF(Q81=1,IF(N81&lt;1,"Geen Inleg Systeem",RIGHT(LEFT(F82,N83+N84),N84)),"")</f>
        <v>|DD|P|##|##|500|5000|3000|2000||||</v>
      </c>
      <c r="G84" s="1074"/>
      <c r="H84" s="1074"/>
      <c r="I84" s="1074"/>
      <c r="J84" s="1074"/>
      <c r="K84" s="1074"/>
      <c r="L84" s="1074"/>
      <c r="M84" s="1074"/>
      <c r="N84" s="1063">
        <f>IF(Q81=1,IF(N81&lt;1,0,N82-N83-N85),"")</f>
        <v>34</v>
      </c>
      <c r="O84" s="1064"/>
      <c r="P84" s="1088"/>
      <c r="Q84" s="86">
        <f>IF(OR(ISBLANK(P3),P3=""),0,IF(OR(CODE(RIGHT(SUBSTITUTE(SUBSTITUTE(P3,CHAR(10),""),CHAR(32),""),1))=124,CODE(RIGHT(SUBSTITUTE(SUBSTITUTE(P3,CHAR(10),""),CHAR(32),""),1))=125),1,0))</f>
        <v>1</v>
      </c>
      <c r="R84" s="128" t="s">
        <v>1998</v>
      </c>
      <c r="S84" s="226"/>
      <c r="T84" s="128"/>
      <c r="U84" s="129"/>
    </row>
    <row r="85" spans="2:21" hidden="1" x14ac:dyDescent="0.25">
      <c r="B85" s="74"/>
      <c r="C85" s="1065" t="s">
        <v>1999</v>
      </c>
      <c r="D85" s="1065"/>
      <c r="E85" s="1066"/>
      <c r="F85" s="1067" t="str">
        <f>IF(Q81=1,RIGHT(F82,N85),"")</f>
        <v>|30|22|#0|16|10|#4|#5|#3|#1|##|X##|X##|X##|BANA|</v>
      </c>
      <c r="G85" s="1068"/>
      <c r="H85" s="1068"/>
      <c r="I85" s="1069"/>
      <c r="J85" s="1069"/>
      <c r="K85" s="1069"/>
      <c r="L85" s="1069"/>
      <c r="M85" s="1070"/>
      <c r="N85" s="1063">
        <f>IF(Q81=1,48,"")</f>
        <v>48</v>
      </c>
      <c r="O85" s="1064"/>
      <c r="P85" s="1088"/>
      <c r="Q85" s="86" t="str">
        <f>IF(Q86="#","#",IF(Q82*Q83*Q84=1,RIGHT(LEFT(P3,3),2),"-"))</f>
        <v>dh</v>
      </c>
      <c r="R85" s="128" t="s">
        <v>2000</v>
      </c>
      <c r="S85" s="226"/>
      <c r="T85" s="128"/>
      <c r="U85" s="129"/>
    </row>
    <row r="86" spans="2:21" hidden="1" x14ac:dyDescent="0.25">
      <c r="B86" s="74"/>
      <c r="C86" s="71"/>
      <c r="D86" s="71"/>
      <c r="E86" s="71"/>
      <c r="F86" s="125"/>
      <c r="G86" s="126"/>
      <c r="H86" s="126"/>
      <c r="I86" s="125"/>
      <c r="J86" s="125"/>
      <c r="K86" s="125"/>
      <c r="L86" s="125"/>
      <c r="M86" s="125"/>
      <c r="N86" s="113"/>
      <c r="O86" s="618"/>
      <c r="P86" s="1088"/>
      <c r="Q86" s="108" t="str">
        <f>R71</f>
        <v>dh</v>
      </c>
      <c r="R86" s="130" t="s">
        <v>2001</v>
      </c>
      <c r="S86" s="227"/>
      <c r="T86" s="130"/>
      <c r="U86" s="131"/>
    </row>
    <row r="87" spans="2:21" ht="15" hidden="1" customHeight="1" x14ac:dyDescent="0.25">
      <c r="B87" s="78"/>
      <c r="C87" s="29" t="s">
        <v>2002</v>
      </c>
      <c r="D87" s="82"/>
      <c r="E87" s="82"/>
      <c r="F87" s="82"/>
      <c r="G87" s="1079" t="str">
        <f>RIGHT(LEFT(F83,N87),2)</f>
        <v>dh</v>
      </c>
      <c r="H87" s="1080"/>
      <c r="I87" s="82" t="s">
        <v>2003</v>
      </c>
      <c r="J87" s="82"/>
      <c r="K87" s="82"/>
      <c r="L87" s="82"/>
      <c r="M87" s="82"/>
      <c r="N87" s="1090">
        <v>3</v>
      </c>
      <c r="O87" s="1091"/>
      <c r="P87" s="1088"/>
      <c r="Q87" s="1083" t="s">
        <v>123</v>
      </c>
      <c r="R87" s="1084"/>
      <c r="S87" s="1098" t="str">
        <f>IF(Q81=1,IF(CODE(RIGHT(SUBSTITUTE(SUBSTITUTE(P3,CHAR(10),""),CHAR(32),""),1))=125,"JA","NEE"),"")</f>
        <v>NEE</v>
      </c>
      <c r="T87" s="1099"/>
      <c r="U87" s="1100"/>
    </row>
    <row r="88" spans="2:21" hidden="1" x14ac:dyDescent="0.25">
      <c r="B88" s="74"/>
      <c r="C88" s="3"/>
      <c r="D88" s="3"/>
      <c r="E88" s="3"/>
      <c r="F88" s="3"/>
      <c r="G88" s="1071" t="str">
        <f>RIGHT(LEFT(F83,N88),1)</f>
        <v>E</v>
      </c>
      <c r="H88" s="42" t="str">
        <f>IF(F82="","",IF(OR(G88="E",G88="F",G88="G",G88="H"),"JA","NEE"))</f>
        <v>JA</v>
      </c>
      <c r="I88" s="3" t="s">
        <v>2004</v>
      </c>
      <c r="J88" s="3"/>
      <c r="K88" s="3"/>
      <c r="L88" s="3"/>
      <c r="M88" s="3"/>
      <c r="N88" s="1081">
        <v>5</v>
      </c>
      <c r="O88" s="1064"/>
      <c r="P88" s="1088"/>
      <c r="Q88" s="1061" t="s">
        <v>2005</v>
      </c>
      <c r="R88" s="1062"/>
      <c r="S88" s="1101" t="str">
        <f>IF(Q81=1,IF(S87="JA",RIGHT(SUBSTITUTE(SUBSTITUTE(P3,CHAR(10),""),CHAR(32),""),U89),"Geen Bonusvragen"),"")</f>
        <v>Geen Bonusvragen</v>
      </c>
      <c r="T88" s="1102"/>
      <c r="U88" s="1103"/>
    </row>
    <row r="89" spans="2:21" hidden="1" x14ac:dyDescent="0.25">
      <c r="B89" s="74"/>
      <c r="C89" s="1059" t="str">
        <f>IF($Q$81=1,IF(RIGHT(LEFT($F$83,4),1)="¦","JA","NEE"),"")</f>
        <v>NEE</v>
      </c>
      <c r="D89" s="1060"/>
      <c r="E89" s="575" t="s">
        <v>2006</v>
      </c>
      <c r="F89" s="3"/>
      <c r="G89" s="1072"/>
      <c r="H89" s="31" t="str">
        <f>IF(F82="","",IF(OR(G88="C",G88="D",G88="G",G88="H"),"JA","NEE"))</f>
        <v>NEE</v>
      </c>
      <c r="I89" s="3" t="s">
        <v>2007</v>
      </c>
      <c r="J89" s="3"/>
      <c r="K89" s="3"/>
      <c r="L89" s="3"/>
      <c r="M89" s="3"/>
      <c r="N89" s="113"/>
      <c r="O89" s="618"/>
      <c r="P89" s="1088"/>
      <c r="Q89" s="621"/>
      <c r="R89" s="425"/>
      <c r="S89" s="228"/>
      <c r="T89" s="228"/>
      <c r="U89" s="119">
        <v>21</v>
      </c>
    </row>
    <row r="90" spans="2:21" hidden="1" x14ac:dyDescent="0.25">
      <c r="B90" s="74"/>
      <c r="C90" s="28"/>
      <c r="D90" s="3"/>
      <c r="E90" s="575" t="s">
        <v>2008</v>
      </c>
      <c r="F90" s="3"/>
      <c r="G90" s="1073"/>
      <c r="H90" s="42">
        <f>IF(F82="","",IF(OR(G88="A",G88="C",G88="E",G88="G"),1,2))</f>
        <v>1</v>
      </c>
      <c r="I90" s="3" t="s">
        <v>2009</v>
      </c>
      <c r="J90" s="3"/>
      <c r="K90" s="3"/>
      <c r="L90" s="3"/>
      <c r="M90" s="3"/>
      <c r="N90" s="113"/>
      <c r="O90" s="618"/>
      <c r="P90" s="1088"/>
      <c r="Q90" s="621"/>
      <c r="R90" s="425"/>
      <c r="S90" s="228"/>
      <c r="T90" s="228"/>
      <c r="U90" s="229"/>
    </row>
    <row r="91" spans="2:21" hidden="1" x14ac:dyDescent="0.25">
      <c r="B91" s="74"/>
      <c r="C91" s="3"/>
      <c r="D91" s="3"/>
      <c r="E91" s="575" t="s">
        <v>2010</v>
      </c>
      <c r="F91" s="3"/>
      <c r="G91" s="31" t="str">
        <f>RIGHT(G87,1)</f>
        <v>h</v>
      </c>
      <c r="H91" s="42" t="str">
        <f>IF(F82="","",IF(OR(G91="d",G91="h"),"JA","NEE"))</f>
        <v>JA</v>
      </c>
      <c r="I91" s="3" t="s">
        <v>2011</v>
      </c>
      <c r="J91" s="3"/>
      <c r="K91" s="3"/>
      <c r="L91" s="3"/>
      <c r="M91" s="3"/>
      <c r="N91" s="1081">
        <v>10</v>
      </c>
      <c r="O91" s="1064"/>
      <c r="P91" s="1088"/>
      <c r="Q91" s="31" t="str">
        <f>IF(AND(Q81=1,S87="JA"),RIGHT(LEFT($S$88,11),2),"")</f>
        <v/>
      </c>
      <c r="R91" s="31" t="str">
        <f>IF(Q91="","",IF(CODE(Q91)=35,RIGHT(Q91,1),Q91)*1)</f>
        <v/>
      </c>
      <c r="S91" s="84" t="s">
        <v>2012</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2013</v>
      </c>
      <c r="L92" s="3"/>
      <c r="M92" s="3"/>
      <c r="N92" s="1081">
        <v>18</v>
      </c>
      <c r="O92" s="1064"/>
      <c r="P92" s="1088"/>
      <c r="Q92" s="31" t="str">
        <f>IF(AND(Q81=1,S87="JA"),RIGHT(LEFT($S$88,2),1),"")</f>
        <v/>
      </c>
      <c r="R92" s="31" t="str">
        <f>IF(Q92="","",CODE(Q92)-IF(CODE(Q92)-64&gt;26,64+6,64))</f>
        <v/>
      </c>
      <c r="S92" s="84" t="s">
        <v>2014</v>
      </c>
      <c r="T92" s="228"/>
      <c r="U92" s="229"/>
    </row>
    <row r="93" spans="2:21" hidden="1" x14ac:dyDescent="0.25">
      <c r="B93" s="74"/>
      <c r="C93" s="3"/>
      <c r="D93" s="3"/>
      <c r="E93" s="3"/>
      <c r="F93" s="73"/>
      <c r="G93" s="61" t="str">
        <f>IF(F82="",0,RIGHT(LEFT(F83,7),2))</f>
        <v>15</v>
      </c>
      <c r="H93" s="123" t="str">
        <f>RIGHT(LEFT($F$83,G93+N93),G93)</f>
        <v>Jamilo*#EK-pool</v>
      </c>
      <c r="I93" s="82" t="s">
        <v>2015</v>
      </c>
      <c r="J93" s="82"/>
      <c r="K93" s="3"/>
      <c r="L93" s="3"/>
      <c r="M93" s="3"/>
      <c r="N93" s="1081">
        <v>19</v>
      </c>
      <c r="O93" s="1064"/>
      <c r="P93" s="1088"/>
      <c r="Q93" s="31" t="str">
        <f>IF(AND(Q81=1,S87="JA"),RIGHT(LEFT($S$88,14),2),"")</f>
        <v/>
      </c>
      <c r="R93" s="31" t="str">
        <f>IF(Q93="","",IF(CODE(Q93)=35,RIGHT(Q93,1),Q93)*1)</f>
        <v/>
      </c>
      <c r="S93" s="84" t="s">
        <v>2016</v>
      </c>
      <c r="T93" s="228"/>
      <c r="U93" s="229"/>
    </row>
    <row r="94" spans="2:21" hidden="1" x14ac:dyDescent="0.25">
      <c r="B94" s="74"/>
      <c r="C94" s="3"/>
      <c r="D94" s="3"/>
      <c r="E94" s="3"/>
      <c r="F94" s="3"/>
      <c r="G94" s="61" t="str">
        <f>IF(F82="",0,RIGHT(LEFT(F83,9),2))</f>
        <v>06</v>
      </c>
      <c r="H94" s="123" t="str">
        <f>RIGHT(LEFT($F$83,G94+N94),G94)</f>
        <v>Jamilo</v>
      </c>
      <c r="I94" s="3" t="s">
        <v>2017</v>
      </c>
      <c r="J94" s="3"/>
      <c r="K94" s="3"/>
      <c r="L94" s="3"/>
      <c r="M94" s="3"/>
      <c r="N94" s="1081">
        <f>G93+N93+1</f>
        <v>35</v>
      </c>
      <c r="O94" s="1064"/>
      <c r="P94" s="1088"/>
      <c r="Q94" s="31" t="str">
        <f>IF(AND(Q81=1,S87="JA"),RIGHT(LEFT($S$88,3),1),"")</f>
        <v/>
      </c>
      <c r="R94" s="31" t="str">
        <f>IF(Q94="","",CODE(Q94)-64)</f>
        <v/>
      </c>
      <c r="S94" s="228" t="s">
        <v>2018</v>
      </c>
      <c r="T94" s="228"/>
      <c r="U94" s="229"/>
    </row>
    <row r="95" spans="2:21" hidden="1" x14ac:dyDescent="0.25">
      <c r="B95" s="79"/>
      <c r="C95" s="81"/>
      <c r="D95" s="81"/>
      <c r="E95" s="81"/>
      <c r="F95" s="81"/>
      <c r="G95" s="61" t="str">
        <f>IF(F82="",0,RIGHT(LEFT(F83,11),2))</f>
        <v>14</v>
      </c>
      <c r="H95" s="123" t="str">
        <f>RIGHT(LEFT($F$83,G95+N95),G95)</f>
        <v>info@jamilo.nl</v>
      </c>
      <c r="I95" s="81" t="s">
        <v>2019</v>
      </c>
      <c r="J95" s="81"/>
      <c r="K95" s="81"/>
      <c r="L95" s="81"/>
      <c r="M95" s="81"/>
      <c r="N95" s="1096">
        <f>G94+N94+1</f>
        <v>42</v>
      </c>
      <c r="O95" s="1097"/>
      <c r="P95" s="1088"/>
      <c r="Q95" s="31" t="str">
        <f>IF(AND(Q81=1,S87="JA"),RIGHT(LEFT($S$88,17),2),"")</f>
        <v/>
      </c>
      <c r="R95" s="31" t="str">
        <f>IF(OR(Q95="",Q95="##"),"",IF(CODE(Q95)=35,RIGHT(Q95,1),Q95)*1)</f>
        <v/>
      </c>
      <c r="S95" s="84" t="s">
        <v>2020</v>
      </c>
      <c r="T95" s="228"/>
      <c r="U95" s="229"/>
    </row>
    <row r="96" spans="2:21" hidden="1" x14ac:dyDescent="0.25">
      <c r="B96" s="101"/>
      <c r="C96" s="28" t="s">
        <v>2021</v>
      </c>
      <c r="D96" s="3"/>
      <c r="E96" s="3"/>
      <c r="F96" s="3"/>
      <c r="G96" s="61" t="str">
        <f>IF($H$91="JA",RIGHT(LEFT($F$84,2),1),"")</f>
        <v>D</v>
      </c>
      <c r="H96" s="123" t="str">
        <f>IF(G96="","",IF(OR(G96="A",G96="D",G96="E"),"n.v.t.",RIGHT(LEFT(F84,9),6)))</f>
        <v>n.v.t.</v>
      </c>
      <c r="I96" s="102" t="s">
        <v>2022</v>
      </c>
      <c r="J96" s="117"/>
      <c r="K96" s="117"/>
      <c r="L96" s="117"/>
      <c r="M96" s="3"/>
      <c r="N96" s="1081"/>
      <c r="O96" s="1064"/>
      <c r="P96" s="1088"/>
      <c r="Q96" s="31" t="str">
        <f>IF(AND(Q81=1,S87="JA"),RIGHT(LEFT($S$88,20),2),"")</f>
        <v/>
      </c>
      <c r="R96" s="31" t="str">
        <f>IF(Q96="","",IF(CODE(Q96)=35,RIGHT(Q96,1),Q96)*1)</f>
        <v/>
      </c>
      <c r="S96" s="84" t="s">
        <v>2023</v>
      </c>
      <c r="T96" s="228"/>
      <c r="U96" s="229"/>
    </row>
    <row r="97" spans="2:21" hidden="1" x14ac:dyDescent="0.25">
      <c r="B97" s="101"/>
      <c r="C97" s="28"/>
      <c r="D97" s="3"/>
      <c r="E97" s="3"/>
      <c r="F97" s="3"/>
      <c r="G97" s="61" t="str">
        <f>IF($H$91="JA",RIGHT(LEFT($F$84,3),1),"")</f>
        <v>D</v>
      </c>
      <c r="H97" s="123" t="str">
        <f>IF(G97="","",IF(G97="D","n.v.t.",IF(OR(G96="A",G96="D",G96="E"),RIGHT(LEFT(F84,6),3),RIGHT(LEFT(F84,12),3))))</f>
        <v>n.v.t.</v>
      </c>
      <c r="I97" s="102" t="s">
        <v>2024</v>
      </c>
      <c r="J97" s="117"/>
      <c r="K97" s="117"/>
      <c r="L97" s="117"/>
      <c r="M97" s="117"/>
      <c r="N97" s="1081"/>
      <c r="O97" s="1064"/>
      <c r="P97" s="1088"/>
      <c r="Q97" s="31" t="str">
        <f>IF(AND(Q81=1,S87="JA"),RIGHT(LEFT($S$88,4),1),"")</f>
        <v/>
      </c>
      <c r="R97" s="31" t="str">
        <f>IF(Q97="","",CODE(Q97)-64)</f>
        <v/>
      </c>
      <c r="S97" s="228" t="s">
        <v>2025</v>
      </c>
      <c r="T97" s="228"/>
      <c r="U97" s="229"/>
    </row>
    <row r="98" spans="2:21" hidden="1" x14ac:dyDescent="0.25">
      <c r="B98" s="101"/>
      <c r="C98" s="1059" t="str">
        <f>IF($H$91="JA",IF(RIGHT(LEFT($F$84,N103-1),1)="¦","JA","NEE"),"")</f>
        <v>NEE</v>
      </c>
      <c r="D98" s="1060"/>
      <c r="E98" s="575" t="s">
        <v>2026</v>
      </c>
      <c r="F98" s="3"/>
      <c r="G98" s="61" t="str">
        <f>IF(OR(G96="B",G96="C"),LEFT(H96,2)*1,"")</f>
        <v/>
      </c>
      <c r="H98" s="123" t="str">
        <f>IF(G98="","",LEFT(RIGHT($F$84,N98),G98))</f>
        <v/>
      </c>
      <c r="I98" s="364" t="s">
        <v>917</v>
      </c>
      <c r="J98" s="117"/>
      <c r="K98" s="117"/>
      <c r="L98" s="117"/>
      <c r="M98" s="117"/>
      <c r="N98" s="1081">
        <f>IF(G98="",0,N99+G98+1)</f>
        <v>0</v>
      </c>
      <c r="O98" s="1064"/>
      <c r="P98" s="1088"/>
      <c r="Q98" s="31" t="str">
        <f>IF(AND(Q81=1,S87="JA"),RIGHT(LEFT($S$88,5),1),"")</f>
        <v/>
      </c>
      <c r="R98" s="31" t="str">
        <f>IF(Q98="","",CODE(Q98)-64)</f>
        <v/>
      </c>
      <c r="S98" s="228" t="s">
        <v>2027</v>
      </c>
      <c r="T98" s="228"/>
      <c r="U98" s="229"/>
    </row>
    <row r="99" spans="2:21" hidden="1" x14ac:dyDescent="0.25">
      <c r="B99" s="101"/>
      <c r="C99" s="28"/>
      <c r="D99" s="3"/>
      <c r="E99" s="575" t="s">
        <v>2028</v>
      </c>
      <c r="F99" s="3"/>
      <c r="G99" s="61" t="str">
        <f>IF(OR(G96="B",G96="C"),RIGHT(LEFT(H96,4),2)*1,"")</f>
        <v/>
      </c>
      <c r="H99" s="123" t="str">
        <f>IF(G99="","",LEFT(RIGHT($F$84,N99),G99))</f>
        <v/>
      </c>
      <c r="I99" s="364" t="s">
        <v>921</v>
      </c>
      <c r="J99" s="117"/>
      <c r="K99" s="117"/>
      <c r="L99" s="117"/>
      <c r="M99" s="117"/>
      <c r="N99" s="1081">
        <f>IF(G99="",0,N100+G99+1)</f>
        <v>0</v>
      </c>
      <c r="O99" s="1064"/>
      <c r="P99" s="1088"/>
      <c r="Q99" s="31" t="str">
        <f>IF(AND(Q81=1,S87="JA"),RIGHT(LEFT($S$88,6),1),"")</f>
        <v/>
      </c>
      <c r="R99" s="31" t="str">
        <f>IF(Q99="","",CODE(Q99)-64)</f>
        <v/>
      </c>
      <c r="S99" s="228" t="s">
        <v>2029</v>
      </c>
      <c r="T99" s="228"/>
      <c r="U99" s="229"/>
    </row>
    <row r="100" spans="2:21" hidden="1" x14ac:dyDescent="0.25">
      <c r="B100" s="101"/>
      <c r="C100" s="28"/>
      <c r="D100" s="3"/>
      <c r="E100" s="3"/>
      <c r="F100" s="3"/>
      <c r="G100" s="61" t="str">
        <f>IF(OR(G96="B",G96="C"),RIGHT(H96,2)*1,"")</f>
        <v/>
      </c>
      <c r="H100" s="123" t="str">
        <f>IF(G100="","",LEFT(RIGHT($F$84,N100),G100))</f>
        <v/>
      </c>
      <c r="I100" s="364" t="s">
        <v>925</v>
      </c>
      <c r="J100" s="117"/>
      <c r="K100" s="117"/>
      <c r="L100" s="117"/>
      <c r="M100" s="117"/>
      <c r="N100" s="1081">
        <f>IF(G100="",0,N101+G100+1)</f>
        <v>0</v>
      </c>
      <c r="O100" s="1064"/>
      <c r="P100" s="1088"/>
      <c r="Q100" s="31" t="str">
        <f>IF(AND(Q81=1,S87="JA"),RIGHT(LEFT($S$88,7),1),"")</f>
        <v/>
      </c>
      <c r="R100" s="31" t="str">
        <f>IF(Q100="","",CODE(Q100)-64)</f>
        <v/>
      </c>
      <c r="S100" s="228" t="s">
        <v>2030</v>
      </c>
      <c r="T100" s="228"/>
      <c r="U100" s="229"/>
    </row>
    <row r="101" spans="2:21" hidden="1" x14ac:dyDescent="0.25">
      <c r="B101" s="101"/>
      <c r="C101" s="28"/>
      <c r="D101" s="3"/>
      <c r="E101" s="3"/>
      <c r="F101" s="3"/>
      <c r="G101" s="61" t="str">
        <f>IF(OR(G97="A",G97="B",G97="C"),LEFT(H97,2)*1,"")</f>
        <v/>
      </c>
      <c r="H101" s="123" t="str">
        <f>IF(G101="","",LEFT(RIGHT($F$84,N101),G101))</f>
        <v/>
      </c>
      <c r="I101" s="364" t="s">
        <v>2031</v>
      </c>
      <c r="J101" s="117"/>
      <c r="K101" s="117"/>
      <c r="L101" s="117"/>
      <c r="M101" s="117"/>
      <c r="N101" s="1081">
        <f>IF(G101="",0,N102+G101+1)</f>
        <v>0</v>
      </c>
      <c r="O101" s="1064"/>
      <c r="P101" s="1088"/>
      <c r="Q101" s="31" t="str">
        <f>IF(AND(Q81=1,S87="JA"),RIGHT(LEFT($S$88,8),1),"")</f>
        <v/>
      </c>
      <c r="R101" s="31" t="str">
        <f>IF(Q101="","",CODE(Q101)-64)</f>
        <v/>
      </c>
      <c r="S101" s="228" t="s">
        <v>2032</v>
      </c>
      <c r="T101" s="228"/>
      <c r="U101" s="229"/>
    </row>
    <row r="102" spans="2:21" hidden="1" x14ac:dyDescent="0.25">
      <c r="B102" s="101"/>
      <c r="C102" s="28"/>
      <c r="D102" s="3"/>
      <c r="E102" s="3"/>
      <c r="F102" s="3"/>
      <c r="G102" s="61" t="str">
        <f>IF(OR(G97="A",G97="B",G97="C"),RIGHT(H97,1)*1,"")</f>
        <v/>
      </c>
      <c r="H102" s="61" t="str">
        <f>IF(G102="","",0.01*LEFT(RIGHT($F$84,N102),G102))</f>
        <v/>
      </c>
      <c r="I102" s="364" t="s">
        <v>2033</v>
      </c>
      <c r="J102" s="117"/>
      <c r="K102" s="117"/>
      <c r="L102" s="117"/>
      <c r="M102" s="117"/>
      <c r="N102" s="1096">
        <f>IF(G102="",0,G102+1)</f>
        <v>0</v>
      </c>
      <c r="O102" s="1097"/>
      <c r="P102" s="1088"/>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2034</v>
      </c>
      <c r="J103" s="117"/>
      <c r="K103" s="117"/>
      <c r="L103" s="117"/>
      <c r="M103" s="117"/>
      <c r="N103" s="1081">
        <f>IF($H$91="JA",5+IF(OR(G96="A",G96="D",G96="E"),0,6)+IF(G97="D",0,3),0)</f>
        <v>5</v>
      </c>
      <c r="O103" s="1064"/>
      <c r="P103" s="1088"/>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2035</v>
      </c>
      <c r="J104" s="3"/>
      <c r="K104" s="3"/>
      <c r="L104" s="3"/>
      <c r="M104" s="117"/>
      <c r="N104" s="1081">
        <f>IF($H$91="JA",N103+3,0)</f>
        <v>8</v>
      </c>
      <c r="O104" s="1064"/>
      <c r="P104" s="1088"/>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2036</v>
      </c>
      <c r="J105" s="3"/>
      <c r="K105" s="3"/>
      <c r="L105" s="3"/>
      <c r="M105" s="117"/>
      <c r="N105" s="1081">
        <f>IF($H$91="JA",N104+3,0)</f>
        <v>11</v>
      </c>
      <c r="O105" s="1064"/>
      <c r="P105" s="1088"/>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2037</v>
      </c>
      <c r="J106" s="3"/>
      <c r="K106" s="122">
        <f>LARGE(K107:K116,1)</f>
        <v>0</v>
      </c>
      <c r="L106" s="365" t="str">
        <f>"= aantal decimalen"</f>
        <v>= aantal decimalen</v>
      </c>
      <c r="M106" s="31" t="str">
        <f t="shared" ref="M106:M116" si="7">"€"&amp;" "&amp;H106&amp;IF(CODE(LEFT(RIGHT(H106,2),1))=44,"0",IF(CODE(LEFT(RIGHT(H106,3),1))=44,"",",00"))</f>
        <v>€ 5,00</v>
      </c>
      <c r="N106" s="3"/>
      <c r="O106" s="73"/>
      <c r="P106" s="1088"/>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2038</v>
      </c>
      <c r="J107" s="3"/>
      <c r="K107" s="120">
        <f>IF(G107="",0,IF(RIGHT(G107,1)="0",IF(RIGHT(G107,2)="00",0,1),2))</f>
        <v>0</v>
      </c>
      <c r="L107" s="31" t="str">
        <f>H107&amp;IF($K$106=2,IF($K$106-K107=2,",00",IF($K$106-K107=1,"0","")),IF($K$106=1,IF($K$106-K107=1,",0",""),""))&amp;"% van de inleg"</f>
        <v>50% van de inleg</v>
      </c>
      <c r="M107" s="31" t="str">
        <f t="shared" si="7"/>
        <v>€ 50,00</v>
      </c>
      <c r="N107" s="3"/>
      <c r="O107" s="73"/>
      <c r="P107" s="1088"/>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2039</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88"/>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2040</v>
      </c>
      <c r="J109" s="3"/>
      <c r="K109" s="120">
        <f t="shared" si="9"/>
        <v>0</v>
      </c>
      <c r="L109" s="31" t="str">
        <f t="shared" si="10"/>
        <v>20% van de inleg</v>
      </c>
      <c r="M109" s="31" t="str">
        <f t="shared" si="7"/>
        <v>€ 20,00</v>
      </c>
      <c r="N109" s="3"/>
      <c r="O109" s="73"/>
      <c r="P109" s="1088"/>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2041</v>
      </c>
      <c r="J110" s="3"/>
      <c r="K110" s="120">
        <f t="shared" si="9"/>
        <v>0</v>
      </c>
      <c r="L110" s="31" t="str">
        <f t="shared" si="10"/>
        <v>0% van de inleg</v>
      </c>
      <c r="M110" s="31" t="str">
        <f t="shared" si="7"/>
        <v>€ 0,00</v>
      </c>
      <c r="N110" s="3"/>
      <c r="O110" s="73"/>
      <c r="P110" s="1088"/>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2042</v>
      </c>
      <c r="J111" s="3"/>
      <c r="K111" s="120">
        <f t="shared" si="9"/>
        <v>0</v>
      </c>
      <c r="L111" s="31" t="str">
        <f t="shared" si="10"/>
        <v>0% van de inleg</v>
      </c>
      <c r="M111" s="31" t="str">
        <f t="shared" si="7"/>
        <v>€ 0,00</v>
      </c>
      <c r="N111" s="3"/>
      <c r="O111" s="73"/>
      <c r="P111" s="1088"/>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2043</v>
      </c>
      <c r="J112" s="3"/>
      <c r="K112" s="120">
        <f t="shared" si="9"/>
        <v>0</v>
      </c>
      <c r="L112" s="31" t="str">
        <f t="shared" si="10"/>
        <v>0% van de inleg</v>
      </c>
      <c r="M112" s="31" t="str">
        <f t="shared" si="7"/>
        <v>€ 0,00</v>
      </c>
      <c r="N112" s="3"/>
      <c r="O112" s="73"/>
      <c r="P112" s="1088"/>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2044</v>
      </c>
      <c r="J113" s="3"/>
      <c r="K113" s="120">
        <f t="shared" si="9"/>
        <v>0</v>
      </c>
      <c r="L113" s="31" t="str">
        <f t="shared" si="10"/>
        <v>0% van de inleg</v>
      </c>
      <c r="M113" s="31" t="str">
        <f t="shared" si="7"/>
        <v>€ 0,00</v>
      </c>
      <c r="N113" s="3"/>
      <c r="O113" s="73"/>
      <c r="P113" s="1088"/>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2045</v>
      </c>
      <c r="J114" s="3"/>
      <c r="K114" s="120">
        <f t="shared" si="9"/>
        <v>0</v>
      </c>
      <c r="L114" s="31" t="str">
        <f t="shared" si="10"/>
        <v>0% van de inleg</v>
      </c>
      <c r="M114" s="31" t="str">
        <f t="shared" si="7"/>
        <v>€ 0,00</v>
      </c>
      <c r="N114" s="3"/>
      <c r="O114" s="73"/>
      <c r="P114" s="1088"/>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2046</v>
      </c>
      <c r="J115" s="3"/>
      <c r="K115" s="120">
        <f t="shared" si="9"/>
        <v>0</v>
      </c>
      <c r="L115" s="31" t="str">
        <f t="shared" si="10"/>
        <v>0% van de inleg</v>
      </c>
      <c r="M115" s="31" t="str">
        <f t="shared" si="7"/>
        <v>€ 0,00</v>
      </c>
      <c r="N115" s="3"/>
      <c r="O115" s="73"/>
      <c r="P115" s="1088"/>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2047</v>
      </c>
      <c r="J116" s="81"/>
      <c r="K116" s="121">
        <f t="shared" si="9"/>
        <v>0</v>
      </c>
      <c r="L116" s="31" t="str">
        <f t="shared" si="10"/>
        <v>0% van de inleg</v>
      </c>
      <c r="M116" s="31" t="str">
        <f t="shared" si="7"/>
        <v>€ 0,00</v>
      </c>
      <c r="N116" s="81"/>
      <c r="O116" s="83"/>
      <c r="P116" s="1089"/>
      <c r="Q116" s="387">
        <v>12</v>
      </c>
      <c r="R116" s="615" t="str">
        <f ca="1">Taal03!B46</f>
        <v>december</v>
      </c>
      <c r="S116" s="66"/>
      <c r="T116" s="66"/>
      <c r="U116" s="67"/>
    </row>
    <row r="117" spans="2:21" hidden="1" x14ac:dyDescent="0.25">
      <c r="B117" s="101">
        <v>3</v>
      </c>
      <c r="C117" s="29" t="s">
        <v>2048</v>
      </c>
      <c r="D117" s="82"/>
      <c r="E117" s="30"/>
      <c r="F117" s="82"/>
      <c r="G117" s="31" t="str">
        <f>RIGHT(LEFT($F$85,B117),2)</f>
        <v>30</v>
      </c>
      <c r="H117" s="31">
        <f>IF(OR(G117="",G117="##"),"",IF(CODE(G117)=35,RIGHT(G117,1),G117)*1)</f>
        <v>30</v>
      </c>
      <c r="I117" s="74" t="s">
        <v>2049</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2050</v>
      </c>
      <c r="J118" s="3"/>
      <c r="K118" s="3"/>
      <c r="L118" s="97"/>
      <c r="M118" s="3"/>
      <c r="N118" s="3"/>
      <c r="O118" s="73"/>
      <c r="Q118" s="622" t="s">
        <v>2051</v>
      </c>
      <c r="R118" s="15"/>
      <c r="S118" s="15"/>
      <c r="T118" s="15"/>
      <c r="U118" s="15"/>
    </row>
    <row r="119" spans="2:21" hidden="1" x14ac:dyDescent="0.25">
      <c r="B119" s="101">
        <f t="shared" si="11"/>
        <v>9</v>
      </c>
      <c r="C119" s="1105" t="s">
        <v>2052</v>
      </c>
      <c r="D119" s="1106"/>
      <c r="E119" s="575" t="s">
        <v>2053</v>
      </c>
      <c r="F119" s="97"/>
      <c r="G119" s="31" t="str">
        <f>RIGHT(LEFT($F$85,B119),2)</f>
        <v>#0</v>
      </c>
      <c r="H119" s="31">
        <f>IF(OR(G119="",G119="##"),"",IF(CODE(G119)=35,RIGHT(G119,1),G119)*1)</f>
        <v>0</v>
      </c>
      <c r="I119" s="124" t="s">
        <v>2054</v>
      </c>
      <c r="J119" s="3"/>
      <c r="K119" s="3"/>
      <c r="L119" s="3"/>
      <c r="M119" s="3"/>
      <c r="N119" s="117"/>
      <c r="O119" s="118"/>
      <c r="Q119" s="624" t="s">
        <v>2055</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2056</v>
      </c>
      <c r="J120" s="97"/>
      <c r="K120" s="3"/>
      <c r="L120" s="3"/>
      <c r="M120" s="3"/>
      <c r="N120" s="3"/>
      <c r="O120" s="73"/>
      <c r="Q120" s="622" t="s">
        <v>2057</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2058</v>
      </c>
      <c r="J121" s="3"/>
      <c r="K121" s="3"/>
      <c r="L121" s="3"/>
      <c r="M121" s="3"/>
      <c r="N121" s="3"/>
      <c r="O121" s="73"/>
      <c r="Q121" s="624" t="s">
        <v>2059</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2060</v>
      </c>
      <c r="J122" s="3"/>
      <c r="K122" s="3"/>
      <c r="L122" s="3"/>
      <c r="M122" s="3"/>
      <c r="N122" s="3"/>
      <c r="O122" s="73"/>
      <c r="Q122" s="622" t="s">
        <v>2061</v>
      </c>
      <c r="R122" s="15"/>
      <c r="S122" s="15"/>
      <c r="T122" s="15"/>
      <c r="U122" s="15"/>
    </row>
    <row r="123" spans="2:21" hidden="1" x14ac:dyDescent="0.25">
      <c r="B123" s="101">
        <f t="shared" si="11"/>
        <v>21</v>
      </c>
      <c r="C123" s="3"/>
      <c r="D123" s="3"/>
      <c r="E123" s="3"/>
      <c r="F123" s="3"/>
      <c r="G123" s="31" t="str">
        <f t="shared" si="12"/>
        <v>#5</v>
      </c>
      <c r="H123" s="619">
        <f t="shared" si="13"/>
        <v>5</v>
      </c>
      <c r="I123" s="3" t="s">
        <v>2062</v>
      </c>
      <c r="J123" s="3"/>
      <c r="K123" s="3"/>
      <c r="L123" s="3"/>
      <c r="M123" s="3"/>
      <c r="N123" s="3"/>
      <c r="O123" s="73"/>
      <c r="Q123" s="624" t="s">
        <v>2063</v>
      </c>
      <c r="R123" s="15"/>
      <c r="S123" s="15"/>
      <c r="T123" s="15"/>
      <c r="U123" s="15"/>
    </row>
    <row r="124" spans="2:21" hidden="1" x14ac:dyDescent="0.25">
      <c r="B124" s="101">
        <f t="shared" si="11"/>
        <v>24</v>
      </c>
      <c r="C124" s="3"/>
      <c r="D124" s="3"/>
      <c r="E124" s="3"/>
      <c r="F124" s="3"/>
      <c r="G124" s="31" t="str">
        <f t="shared" si="12"/>
        <v>#3</v>
      </c>
      <c r="H124" s="31">
        <f t="shared" si="13"/>
        <v>3</v>
      </c>
      <c r="I124" s="74" t="s">
        <v>2064</v>
      </c>
      <c r="J124" s="3"/>
      <c r="K124" s="3"/>
      <c r="L124" s="3"/>
      <c r="M124" s="3"/>
      <c r="N124" s="3"/>
      <c r="O124" s="73"/>
      <c r="Q124" s="622" t="s">
        <v>2065</v>
      </c>
      <c r="R124" s="15"/>
      <c r="S124" s="15"/>
      <c r="T124" s="15"/>
      <c r="U124" s="15"/>
    </row>
    <row r="125" spans="2:21" hidden="1" x14ac:dyDescent="0.25">
      <c r="B125" s="101">
        <f t="shared" si="11"/>
        <v>27</v>
      </c>
      <c r="C125" s="3"/>
      <c r="D125" s="3"/>
      <c r="E125" s="3"/>
      <c r="F125" s="3"/>
      <c r="G125" s="31" t="str">
        <f t="shared" si="12"/>
        <v>#1</v>
      </c>
      <c r="H125" s="31">
        <f t="shared" si="13"/>
        <v>1</v>
      </c>
      <c r="I125" s="74" t="s">
        <v>2066</v>
      </c>
      <c r="J125" s="3"/>
      <c r="K125" s="3"/>
      <c r="L125" s="3"/>
      <c r="M125" s="3"/>
      <c r="N125" s="3"/>
      <c r="O125" s="73"/>
      <c r="Q125" s="624" t="s">
        <v>2067</v>
      </c>
      <c r="R125" s="15"/>
      <c r="S125" s="15"/>
      <c r="T125" s="15"/>
      <c r="U125" s="15"/>
    </row>
    <row r="126" spans="2:21" hidden="1" x14ac:dyDescent="0.25">
      <c r="B126" s="101">
        <f t="shared" si="11"/>
        <v>30</v>
      </c>
      <c r="C126" s="3"/>
      <c r="D126" s="3"/>
      <c r="E126" s="3"/>
      <c r="F126" s="3"/>
      <c r="G126" s="31" t="str">
        <f t="shared" si="12"/>
        <v>##</v>
      </c>
      <c r="H126" s="31" t="str">
        <f t="shared" si="13"/>
        <v/>
      </c>
      <c r="I126" s="74" t="s">
        <v>2068</v>
      </c>
      <c r="J126" s="3"/>
      <c r="K126" s="3"/>
      <c r="L126" s="3"/>
      <c r="M126" s="3"/>
      <c r="N126" s="3"/>
      <c r="O126" s="73"/>
      <c r="Q126" s="622" t="s">
        <v>2069</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2070</v>
      </c>
      <c r="J127" s="3"/>
      <c r="K127" s="3"/>
      <c r="L127" s="3"/>
      <c r="M127" s="3"/>
      <c r="N127" s="3"/>
      <c r="O127" s="73"/>
      <c r="Q127" s="624" t="s">
        <v>2071</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2072</v>
      </c>
      <c r="J128" s="3"/>
      <c r="K128" s="3"/>
      <c r="L128" s="3"/>
      <c r="M128" s="3"/>
      <c r="N128" s="3"/>
      <c r="O128" s="73"/>
      <c r="Q128" s="622" t="s">
        <v>2073</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2074</v>
      </c>
      <c r="J129" s="3"/>
      <c r="K129" s="3"/>
      <c r="L129" s="3"/>
      <c r="M129" s="3"/>
      <c r="N129" s="3"/>
      <c r="O129" s="73"/>
      <c r="Q129" s="624" t="s">
        <v>2075</v>
      </c>
      <c r="R129" s="15"/>
      <c r="S129" s="15"/>
      <c r="T129" s="15"/>
      <c r="U129" s="15"/>
    </row>
    <row r="130" spans="2:21" hidden="1" x14ac:dyDescent="0.25">
      <c r="B130" s="101">
        <f>B129+2</f>
        <v>44</v>
      </c>
      <c r="C130" s="3"/>
      <c r="D130" s="3"/>
      <c r="E130" s="3"/>
      <c r="F130" s="3"/>
      <c r="G130" s="1079" t="str">
        <f>RIGHT(LEFT($F$85,B130),1)</f>
        <v>B</v>
      </c>
      <c r="H130" s="1080"/>
      <c r="I130" s="74" t="s">
        <v>2076</v>
      </c>
      <c r="J130" s="3"/>
      <c r="K130" s="3"/>
      <c r="L130" s="3"/>
      <c r="M130" s="3"/>
      <c r="N130" s="3"/>
      <c r="O130" s="73"/>
      <c r="Q130" s="622" t="s">
        <v>2077</v>
      </c>
      <c r="R130" s="15"/>
      <c r="S130" s="15"/>
      <c r="T130" s="15"/>
      <c r="U130" s="15"/>
    </row>
    <row r="131" spans="2:21" hidden="1" x14ac:dyDescent="0.25">
      <c r="B131" s="101">
        <f>B130+1</f>
        <v>45</v>
      </c>
      <c r="C131" s="3"/>
      <c r="D131" s="3"/>
      <c r="E131" s="3"/>
      <c r="F131" s="3"/>
      <c r="G131" s="1079" t="str">
        <f>IF(RIGHT(LEFT($F$85,B131),1)="#","",RIGHT(LEFT($F$85,B131),1))</f>
        <v>A</v>
      </c>
      <c r="H131" s="1080"/>
      <c r="I131" s="74" t="s">
        <v>2078</v>
      </c>
      <c r="J131" s="3"/>
      <c r="K131" s="3"/>
      <c r="L131" s="3"/>
      <c r="M131" s="3"/>
      <c r="N131" s="3"/>
      <c r="O131" s="73"/>
      <c r="Q131" s="624" t="s">
        <v>2079</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2080</v>
      </c>
      <c r="J132" s="3"/>
      <c r="K132" s="3"/>
      <c r="L132" s="3"/>
      <c r="M132" s="3"/>
      <c r="N132" s="3"/>
      <c r="O132" s="73"/>
      <c r="Q132" s="622" t="s">
        <v>2081</v>
      </c>
      <c r="R132" s="15"/>
      <c r="S132" s="15"/>
      <c r="T132" s="15"/>
      <c r="U132" s="15"/>
    </row>
    <row r="133" spans="2:21" hidden="1" x14ac:dyDescent="0.25">
      <c r="B133" s="104">
        <f>B132+1</f>
        <v>47</v>
      </c>
      <c r="C133" s="81"/>
      <c r="D133" s="81"/>
      <c r="E133" s="81"/>
      <c r="F133" s="81"/>
      <c r="G133" s="1079" t="str">
        <f>IF(RIGHT(LEFT($F$85,B133),1)="#","",RIGHT(LEFT($F$85,B133),1))</f>
        <v>A</v>
      </c>
      <c r="H133" s="1080"/>
      <c r="I133" s="79" t="s">
        <v>2082</v>
      </c>
      <c r="J133" s="81"/>
      <c r="K133" s="81"/>
      <c r="L133" s="81"/>
      <c r="M133" s="81"/>
      <c r="N133" s="81"/>
      <c r="O133" s="83"/>
      <c r="P133" s="15"/>
      <c r="Q133" s="624" t="s">
        <v>2083</v>
      </c>
      <c r="R133" s="15"/>
      <c r="S133" s="15"/>
      <c r="T133" s="15"/>
      <c r="U133" s="15"/>
    </row>
    <row r="134" spans="2:21" hidden="1" x14ac:dyDescent="0.25">
      <c r="B134" s="15"/>
      <c r="C134" s="15" t="s">
        <v>2084</v>
      </c>
      <c r="D134" s="15"/>
      <c r="E134" s="15"/>
      <c r="F134" s="15"/>
      <c r="G134" s="15" t="str">
        <f>IF(AND(Q81=1,OR(LEFT(G87,1)="d",LEFT(G87,1)="e",LEFT(G87,1)="f",LEFT(G87,1)="g")),"JA","NEE")</f>
        <v>JA</v>
      </c>
      <c r="H134" s="15"/>
      <c r="I134" s="15"/>
      <c r="J134" s="15"/>
      <c r="K134" s="15"/>
      <c r="L134" s="15"/>
      <c r="M134" s="15"/>
      <c r="N134" s="15"/>
      <c r="O134" s="15"/>
      <c r="P134" s="15"/>
      <c r="Q134" s="625" t="s">
        <v>2085</v>
      </c>
      <c r="R134" s="15"/>
      <c r="S134" s="15"/>
      <c r="T134" s="15"/>
      <c r="U134" s="15"/>
    </row>
    <row r="135" spans="2:21" hidden="1" x14ac:dyDescent="0.25">
      <c r="B135" s="15"/>
      <c r="C135" s="15" t="s">
        <v>2086</v>
      </c>
      <c r="D135" s="15"/>
      <c r="E135" s="15"/>
      <c r="F135" s="15"/>
      <c r="G135" s="15" t="str">
        <f>IF(AND(Q81=1,G124="#0",H124=0),"NEE",IF(Q81=0,"NEE","JA"))</f>
        <v>JA</v>
      </c>
      <c r="H135" s="1092">
        <f>IF(Q81=1,(IF(G134="JA",2,1)&amp;IF(OR(G137="JA",G138="JA"),2,1))*1,"xx")</f>
        <v>22</v>
      </c>
      <c r="I135" s="15" t="s">
        <v>2087</v>
      </c>
      <c r="J135" s="15"/>
      <c r="K135" s="15"/>
      <c r="L135" s="15"/>
      <c r="M135" s="15"/>
      <c r="N135" s="15"/>
      <c r="O135" s="15"/>
      <c r="P135" s="15"/>
      <c r="Q135" s="626" t="s">
        <v>2088</v>
      </c>
      <c r="R135" s="15"/>
      <c r="S135" s="15"/>
      <c r="T135" s="15"/>
      <c r="U135" s="15"/>
    </row>
    <row r="136" spans="2:21" hidden="1" x14ac:dyDescent="0.25">
      <c r="B136" s="15"/>
      <c r="C136" s="15" t="s">
        <v>115</v>
      </c>
      <c r="D136" s="15"/>
      <c r="E136" s="15"/>
      <c r="F136" s="15"/>
      <c r="G136" s="15" t="str">
        <f>IF(AND(Q81=1,OR(LEFT(G87,1)="d",LEFT(G87,1)="f",LEFT(G87,1)="h",LEFT(G87,1)="j")),"JA","NEE")</f>
        <v>JA</v>
      </c>
      <c r="H136" s="1093"/>
      <c r="I136" s="15" t="s">
        <v>2089</v>
      </c>
      <c r="J136" s="15"/>
      <c r="K136" s="15"/>
      <c r="L136" s="15"/>
      <c r="M136" s="15"/>
      <c r="N136" s="15"/>
      <c r="O136" s="15"/>
      <c r="P136" s="15"/>
      <c r="Q136" s="625" t="s">
        <v>2090</v>
      </c>
      <c r="R136" s="15"/>
      <c r="S136" s="15"/>
      <c r="T136" s="15"/>
      <c r="U136" s="15"/>
    </row>
    <row r="137" spans="2:21" hidden="1" x14ac:dyDescent="0.25">
      <c r="B137" s="15"/>
      <c r="C137" s="15" t="s">
        <v>2091</v>
      </c>
      <c r="D137" s="15"/>
      <c r="E137" s="15"/>
      <c r="F137" s="15"/>
      <c r="G137" s="15" t="str">
        <f>IF(AND(Q81=1,OR(LEFT(G87,1)="d",LEFT(G87,1)="e",LEFT(G87,1)="h",LEFT(G87,1)="i")),"JA","NEE")</f>
        <v>JA</v>
      </c>
      <c r="H137" s="1093"/>
      <c r="I137" s="15" t="s">
        <v>2092</v>
      </c>
      <c r="J137" s="15"/>
      <c r="K137" s="15"/>
      <c r="L137" s="15"/>
      <c r="M137" s="15"/>
      <c r="N137" s="15"/>
      <c r="O137" s="15"/>
      <c r="P137" s="15"/>
      <c r="Q137" s="626" t="s">
        <v>2093</v>
      </c>
      <c r="R137" s="15"/>
      <c r="S137" s="15"/>
      <c r="T137" s="15"/>
      <c r="U137" s="15"/>
    </row>
    <row r="138" spans="2:21" hidden="1" x14ac:dyDescent="0.25">
      <c r="B138" s="15"/>
      <c r="C138" s="15" t="s">
        <v>2094</v>
      </c>
      <c r="D138" s="15"/>
      <c r="E138" s="15"/>
      <c r="F138" s="15"/>
      <c r="G138" s="15" t="str">
        <f>IF(AND(Q81=1,OR(LEFT(G87,1)="d",LEFT(G87,1)="e")),"JA","NEE")</f>
        <v>JA</v>
      </c>
      <c r="H138" s="1094"/>
      <c r="I138" s="15" t="s">
        <v>2095</v>
      </c>
      <c r="J138" s="15"/>
      <c r="K138" s="15"/>
      <c r="L138" s="15"/>
      <c r="M138" s="15"/>
      <c r="N138" s="15"/>
      <c r="O138" s="15"/>
      <c r="P138" s="15"/>
      <c r="Q138" s="15"/>
      <c r="R138" s="15"/>
      <c r="S138" s="15"/>
      <c r="T138" s="15"/>
      <c r="U138" s="15"/>
    </row>
    <row r="139" spans="2:21" hidden="1" x14ac:dyDescent="0.25">
      <c r="B139" s="15"/>
      <c r="C139" s="15" t="s">
        <v>123</v>
      </c>
      <c r="D139" s="15"/>
      <c r="E139" s="15"/>
      <c r="F139" s="15"/>
      <c r="G139" s="15" t="str">
        <f>IF(AND(Q81=1,OR(RIGHT(G87,1)="d",RIGHT(G87,1)="e",RIGHT(G87,1)="f",RIGHT(G87,1)="g")),"JA","NEE")</f>
        <v>NEE</v>
      </c>
      <c r="H139" s="15"/>
      <c r="I139" s="424" t="s">
        <v>2096</v>
      </c>
      <c r="J139" s="15"/>
      <c r="K139" s="15"/>
      <c r="L139" s="15"/>
      <c r="M139" s="15"/>
      <c r="N139" s="15"/>
      <c r="O139" s="15"/>
      <c r="P139" s="15"/>
      <c r="Q139" s="15"/>
      <c r="R139" s="15"/>
      <c r="S139" s="15"/>
      <c r="T139" s="15"/>
      <c r="U139" s="15"/>
    </row>
    <row r="140" spans="2:21" hidden="1" x14ac:dyDescent="0.25">
      <c r="B140" s="607"/>
      <c r="C140" s="608" t="s">
        <v>2097</v>
      </c>
      <c r="D140" s="607"/>
      <c r="E140" s="607"/>
      <c r="F140" s="607"/>
      <c r="G140" s="609">
        <v>2</v>
      </c>
      <c r="H140" s="610" t="s">
        <v>2098</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076" t="str">
        <f>IF(AND(N91=0,P91=1),"LET OP: DEZE POOL MAAKT GEEN GEBRUIKT VAN EEN PRIJZENPOT",Reglement!C2)</f>
        <v/>
      </c>
      <c r="D2" s="1076"/>
      <c r="E2" s="1076"/>
      <c r="F2" s="1076"/>
      <c r="G2" s="1076"/>
      <c r="H2" s="1076"/>
      <c r="I2" s="1076"/>
      <c r="J2" s="1076"/>
      <c r="K2" s="1076"/>
      <c r="L2" s="1076"/>
      <c r="M2" s="1076"/>
      <c r="N2" s="1076"/>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2099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2100</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2101</v>
      </c>
    </row>
    <row r="9" spans="1:23" ht="15" customHeight="1" x14ac:dyDescent="0.25">
      <c r="B9" s="17"/>
      <c r="C9" s="949"/>
      <c r="D9" s="373"/>
      <c r="E9" s="362"/>
      <c r="F9" s="362"/>
      <c r="G9" s="362"/>
      <c r="H9" s="362"/>
      <c r="I9" s="362"/>
      <c r="J9" s="362"/>
      <c r="K9" s="362"/>
      <c r="L9" s="362"/>
      <c r="M9" s="362"/>
      <c r="N9" s="60"/>
      <c r="O9" s="411"/>
      <c r="Q9" s="377" t="str">
        <f>IF($N$91=1,C97,"")</f>
        <v>NEE</v>
      </c>
      <c r="R9" s="115" t="s">
        <v>2102</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2103</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2104</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2105</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2106</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2107</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2108</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2109</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2109</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2109</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2109</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2109</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2109</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2109</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2109</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2109</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2109</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2110</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2111</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2112</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2113</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2114</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2115</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2115</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2116</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2117</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2118</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921</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925</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2116</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2031</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2116</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2119</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2120</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2121</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2122</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2123</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2124</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2125</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2126</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2127</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2128</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2116</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2129</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2116</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2130</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2116</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2131</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2131</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1989</v>
      </c>
      <c r="D91" s="82"/>
      <c r="E91" s="82"/>
      <c r="F91" s="82"/>
      <c r="G91" s="82"/>
      <c r="H91" s="82"/>
      <c r="I91" s="82"/>
      <c r="J91" s="82"/>
      <c r="K91" s="82"/>
      <c r="L91" s="82"/>
      <c r="M91" s="100" t="s">
        <v>1990</v>
      </c>
      <c r="N91" s="1085">
        <f>Reglement!N81</f>
        <v>1</v>
      </c>
      <c r="O91" s="1086"/>
      <c r="P91" s="133">
        <f>Reglement!Q81</f>
        <v>1</v>
      </c>
      <c r="Q91" s="132" t="s">
        <v>1992</v>
      </c>
      <c r="R91" s="127"/>
    </row>
    <row r="92" spans="1:18" ht="15" hidden="1" customHeight="1" x14ac:dyDescent="0.25">
      <c r="B92" s="74"/>
      <c r="C92" s="1065" t="s">
        <v>1993</v>
      </c>
      <c r="D92" s="1065"/>
      <c r="E92" s="1066"/>
      <c r="F92" s="1067" t="str">
        <f>Reglement!F82</f>
        <v>|dh|E150614|10#624|Jamilo*#EK-pool|Jamilo|info@jamilo.nl||DD|P|##|##|500|5000|3000|2000|||||30|22|#0|16|10|#4|#5|#3|#1|##|X##|X##|X##|BANA|</v>
      </c>
      <c r="G92" s="1068"/>
      <c r="H92" s="1068"/>
      <c r="I92" s="1068"/>
      <c r="J92" s="1068"/>
      <c r="K92" s="1068"/>
      <c r="L92" s="1068"/>
      <c r="M92" s="1068"/>
      <c r="N92" s="1063">
        <f>Reglement!N82</f>
        <v>139</v>
      </c>
      <c r="O92" s="1064"/>
      <c r="P92" s="86">
        <f>Reglement!Q82</f>
        <v>1</v>
      </c>
      <c r="Q92" s="128" t="s">
        <v>1994</v>
      </c>
      <c r="R92" s="129"/>
    </row>
    <row r="93" spans="1:18" hidden="1" x14ac:dyDescent="0.25">
      <c r="B93" s="74"/>
      <c r="C93" s="1065" t="s">
        <v>1997</v>
      </c>
      <c r="D93" s="1065"/>
      <c r="E93" s="1066"/>
      <c r="F93" s="1067" t="str">
        <f>Reglement!F84</f>
        <v>|DD|P|##|##|500|5000|3000|2000||||</v>
      </c>
      <c r="G93" s="1068"/>
      <c r="H93" s="1068"/>
      <c r="I93" s="1068"/>
      <c r="J93" s="1068"/>
      <c r="K93" s="1068"/>
      <c r="L93" s="1068"/>
      <c r="M93" s="1068"/>
      <c r="N93" s="1063">
        <f>Reglement!N84</f>
        <v>34</v>
      </c>
      <c r="O93" s="1064"/>
      <c r="P93" s="86">
        <f>Reglement!Q83</f>
        <v>1</v>
      </c>
      <c r="Q93" s="128" t="s">
        <v>1996</v>
      </c>
      <c r="R93" s="129"/>
    </row>
    <row r="94" spans="1:18" hidden="1" x14ac:dyDescent="0.25">
      <c r="B94" s="74"/>
      <c r="C94" s="71"/>
      <c r="D94" s="71"/>
      <c r="E94" s="71"/>
      <c r="F94" s="125"/>
      <c r="G94" s="126"/>
      <c r="H94" s="126"/>
      <c r="I94" s="125"/>
      <c r="J94" s="125"/>
      <c r="K94" s="125"/>
      <c r="L94" s="125"/>
      <c r="M94" s="125"/>
      <c r="N94" s="113"/>
      <c r="O94" s="618"/>
      <c r="P94" s="86">
        <f>Reglement!Q84</f>
        <v>1</v>
      </c>
      <c r="Q94" s="128" t="s">
        <v>1998</v>
      </c>
      <c r="R94" s="129"/>
    </row>
    <row r="95" spans="1:18" hidden="1" x14ac:dyDescent="0.25">
      <c r="B95" s="101"/>
      <c r="C95" s="28" t="s">
        <v>2021</v>
      </c>
      <c r="D95" s="3"/>
      <c r="E95" s="3"/>
      <c r="F95" s="3"/>
      <c r="G95" s="61" t="str">
        <f>Reglement!G103</f>
        <v>P</v>
      </c>
      <c r="H95" s="61" t="str">
        <f>Reglement!H103</f>
        <v>%</v>
      </c>
      <c r="I95" s="3" t="s">
        <v>2034</v>
      </c>
      <c r="J95" s="3"/>
      <c r="K95" s="3"/>
      <c r="L95" s="3"/>
      <c r="M95" s="3"/>
      <c r="N95" s="3"/>
      <c r="O95" s="73"/>
      <c r="P95" s="86" t="str">
        <f>Reglement!Q85</f>
        <v>dh</v>
      </c>
      <c r="Q95" s="128" t="s">
        <v>2000</v>
      </c>
      <c r="R95" s="129"/>
    </row>
    <row r="96" spans="1:18" hidden="1" x14ac:dyDescent="0.25">
      <c r="B96" s="101"/>
      <c r="C96" s="28"/>
      <c r="D96" s="3"/>
      <c r="E96" s="3"/>
      <c r="F96" s="3"/>
      <c r="G96" s="61" t="str">
        <f>Reglement!G104</f>
        <v>##</v>
      </c>
      <c r="H96" s="61" t="str">
        <f>Reglement!H104</f>
        <v/>
      </c>
      <c r="I96" s="3" t="s">
        <v>2035</v>
      </c>
      <c r="J96" s="3"/>
      <c r="K96" s="3"/>
      <c r="L96" s="3"/>
      <c r="M96" s="117"/>
      <c r="N96" s="3"/>
      <c r="O96" s="73"/>
      <c r="P96" s="108" t="str">
        <f>Reglement!Q86</f>
        <v>dh</v>
      </c>
      <c r="Q96" s="130" t="s">
        <v>2001</v>
      </c>
      <c r="R96" s="131"/>
    </row>
    <row r="97" spans="2:20" hidden="1" x14ac:dyDescent="0.25">
      <c r="B97" s="101"/>
      <c r="C97" s="1059" t="str">
        <f>Reglement!C98</f>
        <v>NEE</v>
      </c>
      <c r="D97" s="1060"/>
      <c r="E97" s="575" t="s">
        <v>2026</v>
      </c>
      <c r="F97" s="3"/>
      <c r="G97" s="61" t="str">
        <f>Reglement!G105</f>
        <v>##</v>
      </c>
      <c r="H97" s="61" t="str">
        <f>Reglement!H105</f>
        <v/>
      </c>
      <c r="I97" s="3" t="s">
        <v>2036</v>
      </c>
      <c r="J97" s="3"/>
      <c r="K97" s="3"/>
      <c r="L97" s="3"/>
      <c r="M97" s="117"/>
      <c r="N97" s="3"/>
      <c r="O97" s="73"/>
      <c r="P97" s="87"/>
      <c r="Q97" s="55"/>
      <c r="R97" s="366"/>
    </row>
    <row r="98" spans="2:20" hidden="1" x14ac:dyDescent="0.25">
      <c r="B98" s="101"/>
      <c r="C98" s="28"/>
      <c r="D98" s="3"/>
      <c r="E98" s="575" t="s">
        <v>2028</v>
      </c>
      <c r="F98" s="3"/>
      <c r="G98" s="61" t="str">
        <f>Reglement!G106</f>
        <v>500</v>
      </c>
      <c r="H98" s="61">
        <f>Reglement!H106</f>
        <v>5</v>
      </c>
      <c r="I98" s="103" t="s">
        <v>2037</v>
      </c>
      <c r="J98" s="3"/>
      <c r="K98" s="122">
        <f>LARGE(K99:K108,1)</f>
        <v>0</v>
      </c>
      <c r="L98" s="365" t="str">
        <f>"= aantal decimalen"</f>
        <v>= aantal decimalen</v>
      </c>
      <c r="M98" s="31" t="str">
        <f t="shared" ref="M98:M108" si="8">"€"&amp;" "&amp;H98&amp;IF(CODE(LEFT(RIGHT(H98,2),1))=44,"0",IF(CODE(LEFT(RIGHT(H98,3),1))=44,"",",00"))</f>
        <v>€ 5,00</v>
      </c>
      <c r="N98" s="3"/>
      <c r="O98" s="73"/>
      <c r="P98" s="622" t="s">
        <v>2132</v>
      </c>
      <c r="Q98" s="15"/>
      <c r="R98" s="367"/>
    </row>
    <row r="99" spans="2:20" hidden="1" x14ac:dyDescent="0.25">
      <c r="B99" s="101"/>
      <c r="C99" s="3"/>
      <c r="D99" s="102"/>
      <c r="E99" s="102"/>
      <c r="F99" s="3"/>
      <c r="G99" s="61" t="str">
        <f>Reglement!G107</f>
        <v>5000</v>
      </c>
      <c r="H99" s="61">
        <f>Reglement!H107</f>
        <v>50</v>
      </c>
      <c r="I99" s="3" t="s">
        <v>2038</v>
      </c>
      <c r="J99" s="3"/>
      <c r="K99" s="120">
        <f>IF(G99="",0,IF(RIGHT(G99,1)="0",IF(RIGHT(G99,2)="00",0,1),2))</f>
        <v>0</v>
      </c>
      <c r="L99" s="31" t="str">
        <f ca="1">H99&amp;IF($K$98=2,IF($K$98-K99=2,",00",IF($K$98-K99=1,"0","")),IF($K$98=1,IF($K$98-K99=1,",0",""),""))&amp;"% "&amp;Taal03!$B$186</f>
        <v>50% van de prijzenpot</v>
      </c>
      <c r="M99" s="31" t="str">
        <f t="shared" si="8"/>
        <v>€ 50,00</v>
      </c>
      <c r="N99" s="3"/>
      <c r="O99" s="73"/>
      <c r="P99" s="623" t="s">
        <v>2083</v>
      </c>
      <c r="Q99" s="15"/>
      <c r="R99" s="367"/>
    </row>
    <row r="100" spans="2:20" hidden="1" x14ac:dyDescent="0.25">
      <c r="B100" s="101"/>
      <c r="C100" s="3"/>
      <c r="D100" s="102"/>
      <c r="E100" s="102"/>
      <c r="F100" s="3"/>
      <c r="G100" s="61" t="str">
        <f>Reglement!G108</f>
        <v>3000</v>
      </c>
      <c r="H100" s="61">
        <f>Reglement!H108</f>
        <v>30</v>
      </c>
      <c r="I100" s="3" t="s">
        <v>2039</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2040</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2041</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2133</v>
      </c>
      <c r="T102" s="36"/>
    </row>
    <row r="103" spans="2:20" hidden="1" x14ac:dyDescent="0.25">
      <c r="B103" s="101"/>
      <c r="C103" s="3"/>
      <c r="D103" s="102"/>
      <c r="E103" s="102"/>
      <c r="F103" s="3"/>
      <c r="G103" s="61" t="str">
        <f>Reglement!G111</f>
        <v/>
      </c>
      <c r="H103" s="61">
        <f>Reglement!H111</f>
        <v>0</v>
      </c>
      <c r="I103" s="3" t="s">
        <v>2042</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2134</v>
      </c>
    </row>
    <row r="104" spans="2:20" hidden="1" x14ac:dyDescent="0.25">
      <c r="B104" s="101"/>
      <c r="C104" s="3"/>
      <c r="D104" s="102"/>
      <c r="E104" s="102"/>
      <c r="F104" s="3"/>
      <c r="G104" s="61" t="str">
        <f>Reglement!G112</f>
        <v/>
      </c>
      <c r="H104" s="61">
        <f>Reglement!H112</f>
        <v>0</v>
      </c>
      <c r="I104" s="3" t="s">
        <v>2043</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917</v>
      </c>
    </row>
    <row r="105" spans="2:20" hidden="1" x14ac:dyDescent="0.25">
      <c r="B105" s="101"/>
      <c r="C105" s="3"/>
      <c r="D105" s="102"/>
      <c r="E105" s="102"/>
      <c r="F105" s="3"/>
      <c r="G105" s="61" t="str">
        <f>Reglement!G113</f>
        <v/>
      </c>
      <c r="H105" s="61">
        <f>Reglement!H113</f>
        <v>0</v>
      </c>
      <c r="I105" s="3" t="s">
        <v>2044</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921</v>
      </c>
    </row>
    <row r="106" spans="2:20" hidden="1" x14ac:dyDescent="0.25">
      <c r="B106" s="101"/>
      <c r="C106" s="3"/>
      <c r="D106" s="102"/>
      <c r="E106" s="102"/>
      <c r="F106" s="3"/>
      <c r="G106" s="61" t="str">
        <f>Reglement!G114</f>
        <v/>
      </c>
      <c r="H106" s="61">
        <f>Reglement!H114</f>
        <v>0</v>
      </c>
      <c r="I106" s="3" t="s">
        <v>2045</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925</v>
      </c>
    </row>
    <row r="107" spans="2:20" hidden="1" x14ac:dyDescent="0.25">
      <c r="B107" s="101"/>
      <c r="C107" s="3"/>
      <c r="D107" s="102"/>
      <c r="E107" s="102"/>
      <c r="F107" s="3"/>
      <c r="G107" s="61" t="str">
        <f>Reglement!G115</f>
        <v/>
      </c>
      <c r="H107" s="61">
        <f>Reglement!H115</f>
        <v>0</v>
      </c>
      <c r="I107" s="3" t="s">
        <v>2046</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2031</v>
      </c>
    </row>
    <row r="108" spans="2:20" hidden="1" x14ac:dyDescent="0.25">
      <c r="B108" s="101"/>
      <c r="C108" s="3"/>
      <c r="D108" s="102"/>
      <c r="E108" s="102"/>
      <c r="F108" s="3"/>
      <c r="G108" s="31" t="str">
        <f>Reglement!G116</f>
        <v/>
      </c>
      <c r="H108" s="31">
        <f>Reglement!H116</f>
        <v>0</v>
      </c>
      <c r="I108" s="3" t="s">
        <v>2047</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2135</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4" t="s">
        <v>2136</v>
      </c>
      <c r="Z2" s="1124"/>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2137</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4"/>
      <c r="Z3" s="1124"/>
      <c r="AA3" s="3"/>
      <c r="AB3" s="3"/>
      <c r="AC3" s="3"/>
      <c r="AD3" s="3"/>
      <c r="AE3" s="117"/>
      <c r="AF3" s="117"/>
      <c r="AG3" s="117"/>
      <c r="AH3" s="168"/>
      <c r="AI3" s="168"/>
      <c r="AJ3" s="1118" t="s">
        <v>2138</v>
      </c>
      <c r="AK3" s="1118"/>
      <c r="AL3" s="1118"/>
      <c r="AM3" s="1118"/>
      <c r="AN3" s="1118"/>
      <c r="AO3" s="1118"/>
      <c r="AP3" s="1118"/>
      <c r="AQ3" s="1118"/>
      <c r="AR3" s="1118"/>
      <c r="AS3" s="1118"/>
      <c r="AT3" s="1118"/>
      <c r="AU3" s="1118"/>
      <c r="AV3" s="1118"/>
      <c r="AW3" s="1118"/>
      <c r="AX3" s="1118"/>
      <c r="AY3" s="1118"/>
      <c r="AZ3" s="401" t="s">
        <v>2139</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2140</v>
      </c>
      <c r="AA4" s="3" t="str">
        <f>SUBSTITUTE(F6," ","#*")</f>
        <v>Carmen#*Schalks#*(Bisbee)</v>
      </c>
      <c r="AB4" s="3"/>
      <c r="AC4" s="117" t="s">
        <v>2141</v>
      </c>
      <c r="AD4" s="117" t="s">
        <v>2142</v>
      </c>
      <c r="AE4" s="117" t="s">
        <v>2143</v>
      </c>
      <c r="AF4" s="117"/>
      <c r="AG4" s="117"/>
      <c r="AH4" s="168"/>
      <c r="AI4" s="168"/>
      <c r="AJ4" s="1118"/>
      <c r="AK4" s="1118"/>
      <c r="AL4" s="1118"/>
      <c r="AM4" s="1118"/>
      <c r="AN4" s="1118"/>
      <c r="AO4" s="1118"/>
      <c r="AP4" s="1118"/>
      <c r="AQ4" s="1118"/>
      <c r="AR4" s="1118"/>
      <c r="AS4" s="1118"/>
      <c r="AT4" s="1118"/>
      <c r="AU4" s="1118"/>
      <c r="AV4" s="1118"/>
      <c r="AW4" s="1118"/>
      <c r="AX4" s="1118"/>
      <c r="AY4" s="1118"/>
      <c r="AZ4" s="401" t="s">
        <v>2144</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2145</v>
      </c>
      <c r="AA5" s="102">
        <f>IF(LEN(AA4)&lt;10,LEN(AA4)&amp;"#",LEN(AA4))</f>
        <v>25</v>
      </c>
      <c r="AB5" s="3"/>
      <c r="AC5" s="117" t="str">
        <f>AA7</f>
        <v>GOED</v>
      </c>
      <c r="AD5" s="117" t="str">
        <f>IF(AC5="GOED",AA6,"FOUT")</f>
        <v>|Carmen#*Schalks#*(Bisbee)25</v>
      </c>
      <c r="AE5" s="117">
        <f>LEN(AD5)</f>
        <v>28</v>
      </c>
      <c r="AF5" s="117"/>
      <c r="AG5" s="117"/>
      <c r="AH5" s="168"/>
      <c r="AI5" s="168"/>
      <c r="AJ5" s="490" t="s">
        <v>2146</v>
      </c>
      <c r="AK5" s="167"/>
      <c r="AL5" s="168"/>
      <c r="AM5" s="168"/>
      <c r="AN5" s="168"/>
      <c r="AO5" s="168"/>
      <c r="AP5" s="169"/>
      <c r="AQ5" s="169"/>
      <c r="AR5" s="169"/>
      <c r="AS5" s="167"/>
      <c r="AT5" s="167"/>
      <c r="AU5" s="167"/>
      <c r="AV5" s="167"/>
      <c r="AW5" s="167"/>
      <c r="AX5" s="167"/>
      <c r="AY5" s="182"/>
      <c r="AZ5" s="402" t="s">
        <v>2147</v>
      </c>
      <c r="BA5" s="70"/>
    </row>
    <row r="6" spans="1:59" ht="15" customHeight="1" x14ac:dyDescent="0.25">
      <c r="B6" s="17"/>
      <c r="C6" s="949"/>
      <c r="D6" s="1138" t="str">
        <f ca="1">Taal04!B14&amp;" :"</f>
        <v>Naam :</v>
      </c>
      <c r="E6" s="1138"/>
      <c r="F6" s="1139" t="s">
        <v>2501</v>
      </c>
      <c r="G6" s="1139"/>
      <c r="H6" s="1139"/>
      <c r="I6" s="1139"/>
      <c r="J6" s="1139"/>
      <c r="K6" s="1139"/>
      <c r="L6" s="1139"/>
      <c r="M6" s="926"/>
      <c r="N6" s="1138" t="str">
        <f ca="1">Taal04!B15&amp;" :"</f>
        <v>E-mail :</v>
      </c>
      <c r="O6" s="1138"/>
      <c r="P6" s="1140" t="s">
        <v>2148</v>
      </c>
      <c r="Q6" s="1141"/>
      <c r="R6" s="1141"/>
      <c r="S6" s="1141"/>
      <c r="T6" s="1141"/>
      <c r="U6" s="1141"/>
      <c r="V6" s="1141"/>
      <c r="W6" s="60"/>
      <c r="X6" s="17"/>
      <c r="Y6" s="117"/>
      <c r="Z6" s="97" t="s">
        <v>2149</v>
      </c>
      <c r="AA6" s="1125" t="str">
        <f>"|"&amp;AA4&amp;AA5</f>
        <v>|Carmen#*Schalks#*(Bisbee)25</v>
      </c>
      <c r="AB6" s="1126"/>
      <c r="AC6" s="1126"/>
      <c r="AD6" s="1126"/>
      <c r="AE6" s="1127"/>
      <c r="AF6" s="117"/>
      <c r="AG6" s="117"/>
      <c r="AH6" s="168"/>
      <c r="AI6" s="168"/>
      <c r="AJ6" s="404"/>
      <c r="AK6" s="205"/>
      <c r="AL6" s="205"/>
      <c r="AM6" s="205"/>
      <c r="AN6" s="205"/>
      <c r="AO6" s="205"/>
      <c r="AP6" s="205"/>
      <c r="AQ6" s="205"/>
      <c r="AR6" s="205"/>
      <c r="AS6" s="205"/>
      <c r="AT6" s="205"/>
      <c r="AU6" s="205"/>
      <c r="AV6" s="205"/>
      <c r="AW6" s="205"/>
      <c r="AX6" s="182"/>
      <c r="AY6" s="182"/>
      <c r="AZ6" s="182" t="s">
        <v>2150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2151</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2152</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6" t="s">
        <v>2153</v>
      </c>
      <c r="AL8" s="1116" t="str">
        <f ca="1">AJ12</f>
        <v>Duitsland</v>
      </c>
      <c r="AM8" s="1116" t="str">
        <f ca="1">AJ13</f>
        <v>Schotland</v>
      </c>
      <c r="AN8" s="1116" t="str">
        <f ca="1">AJ14</f>
        <v>Hongarije</v>
      </c>
      <c r="AO8" s="1116" t="str">
        <f ca="1">AJ15</f>
        <v>Zwitserland</v>
      </c>
      <c r="AP8" s="1115" t="s">
        <v>578</v>
      </c>
      <c r="AQ8" s="1116" t="s">
        <v>2154</v>
      </c>
      <c r="AR8" s="1116" t="s">
        <v>2155</v>
      </c>
      <c r="AS8" s="1115" t="str">
        <f ca="1">"Gelijk met "&amp;AH12</f>
        <v>Gelijk met A1</v>
      </c>
      <c r="AT8" s="1115" t="str">
        <f ca="1">"Gelijk met "&amp;AH13</f>
        <v>Gelijk met A2</v>
      </c>
      <c r="AU8" s="1115" t="str">
        <f ca="1">"Gelijk met "&amp;AH14</f>
        <v>Gelijk met A3</v>
      </c>
      <c r="AV8" s="1115" t="str">
        <f ca="1">"Gelijk met "&amp;AH15</f>
        <v>Gelijk met A4</v>
      </c>
      <c r="AW8" s="1115" t="s">
        <v>578</v>
      </c>
      <c r="AX8" s="1115" t="s">
        <v>2154</v>
      </c>
      <c r="AY8" s="1115" t="s">
        <v>2155</v>
      </c>
      <c r="AZ8" s="1115" t="s">
        <v>2156</v>
      </c>
      <c r="BA8" s="1115" t="s">
        <v>2157</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1" t="s">
        <v>2158</v>
      </c>
      <c r="Z9" s="1121"/>
      <c r="AA9" s="1121"/>
      <c r="AB9" s="1121"/>
      <c r="AC9" s="1121"/>
      <c r="AD9" s="1121"/>
      <c r="AE9" s="41"/>
      <c r="AF9" s="1123" t="s">
        <v>2159</v>
      </c>
      <c r="AG9" s="1123"/>
      <c r="AH9" s="168"/>
      <c r="AI9" s="168"/>
      <c r="AJ9" s="70"/>
      <c r="AK9" s="1116"/>
      <c r="AL9" s="1116"/>
      <c r="AM9" s="1116"/>
      <c r="AN9" s="1116"/>
      <c r="AO9" s="1116"/>
      <c r="AP9" s="1115"/>
      <c r="AQ9" s="1116"/>
      <c r="AR9" s="1116"/>
      <c r="AS9" s="1115"/>
      <c r="AT9" s="1115"/>
      <c r="AU9" s="1115"/>
      <c r="AV9" s="1115"/>
      <c r="AW9" s="1115"/>
      <c r="AX9" s="1115"/>
      <c r="AY9" s="1115"/>
      <c r="AZ9" s="1115"/>
      <c r="BA9" s="1115"/>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2"/>
      <c r="Z10" s="1122"/>
      <c r="AA10" s="1122"/>
      <c r="AB10" s="1122"/>
      <c r="AC10" s="1122"/>
      <c r="AD10" s="1122"/>
      <c r="AE10" s="41"/>
      <c r="AF10" s="1123" t="s">
        <v>2160</v>
      </c>
      <c r="AG10" s="1123"/>
      <c r="AH10" s="168"/>
      <c r="AI10" s="168"/>
      <c r="AJ10" s="161" t="str">
        <f ca="1">D23</f>
        <v>Groep A</v>
      </c>
      <c r="AK10" s="1116"/>
      <c r="AL10" s="1116"/>
      <c r="AM10" s="1116"/>
      <c r="AN10" s="1116"/>
      <c r="AO10" s="1116"/>
      <c r="AP10" s="1115"/>
      <c r="AQ10" s="1116"/>
      <c r="AR10" s="1116"/>
      <c r="AS10" s="1115"/>
      <c r="AT10" s="1115"/>
      <c r="AU10" s="1115"/>
      <c r="AV10" s="1115"/>
      <c r="AW10" s="1115"/>
      <c r="AX10" s="1115"/>
      <c r="AY10" s="1115"/>
      <c r="AZ10" s="1115"/>
      <c r="BA10" s="1115"/>
    </row>
    <row r="11" spans="1:59" ht="15" customHeight="1" x14ac:dyDescent="0.25">
      <c r="B11" s="17"/>
      <c r="C11" s="383"/>
      <c r="D11" s="1128" t="str">
        <f ca="1">Taal04!B42</f>
        <v>Het is niet mogelijk om uitslagen te voorspellen waarin één land meer dan 9 doelpunten maakt. Wanneer een land toch meer dan 9 doelpunten maakt tijdens één wedstrijd zal bij de uitslag 9 doelpunten genoteerd worden.</v>
      </c>
      <c r="E11" s="1128"/>
      <c r="F11" s="1128"/>
      <c r="G11" s="1128"/>
      <c r="H11" s="1128"/>
      <c r="I11" s="1128"/>
      <c r="J11" s="1128"/>
      <c r="K11" s="1128"/>
      <c r="L11" s="1128"/>
      <c r="M11" s="1128"/>
      <c r="N11" s="1128"/>
      <c r="O11" s="1128"/>
      <c r="P11" s="1128"/>
      <c r="Q11" s="1128"/>
      <c r="R11" s="1128"/>
      <c r="S11" s="1128"/>
      <c r="T11" s="1128"/>
      <c r="U11" s="1128"/>
      <c r="V11" s="1128"/>
      <c r="W11" s="367"/>
      <c r="X11" s="17"/>
      <c r="Y11" s="1129"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|30|12|20|30|12|01|02|02|21|03|31|31|20|20|12|12|20|11|01|11|02|02|14|20|12|01|04|11|21|40|30|21|21|12|05|22|</v>
      </c>
      <c r="Z11" s="1130"/>
      <c r="AA11" s="1130"/>
      <c r="AB11" s="1130"/>
      <c r="AC11" s="1130"/>
      <c r="AD11" s="1131"/>
      <c r="AE11" s="41"/>
      <c r="AF11" s="831" t="s">
        <v>2161</v>
      </c>
      <c r="AG11" s="106" t="str">
        <f>IF(TYPE(VLOOKUP(AF11,$D$25:$D$60,1,FALSE)*1)=1,VLOOKUP(AF11,$D$25:$AA$60,24,FALSE),IF(TYPE(VLOOKUP(AF11,$N$25:$N$60,1,FALSE)*1)=1,VLOOKUP(AF11,$N$25:$AD$60,17,FALSE),"ERROR"))</f>
        <v>30|</v>
      </c>
      <c r="AH11" s="168"/>
      <c r="AI11" s="168"/>
      <c r="AJ11" s="70" t="s">
        <v>2162</v>
      </c>
      <c r="AK11" s="1116"/>
      <c r="AL11" s="1116"/>
      <c r="AM11" s="1116"/>
      <c r="AN11" s="1116"/>
      <c r="AO11" s="1116"/>
      <c r="AP11" s="1115"/>
      <c r="AQ11" s="1116"/>
      <c r="AR11" s="1116"/>
      <c r="AS11" s="1115"/>
      <c r="AT11" s="1115"/>
      <c r="AU11" s="1115"/>
      <c r="AV11" s="1115"/>
      <c r="AW11" s="1115"/>
      <c r="AX11" s="1115"/>
      <c r="AY11" s="1115"/>
      <c r="AZ11" s="1115"/>
      <c r="BA11" s="1115"/>
    </row>
    <row r="12" spans="1:59" ht="15" customHeight="1" x14ac:dyDescent="0.25">
      <c r="B12" s="17"/>
      <c r="C12" s="383"/>
      <c r="D12" s="1128"/>
      <c r="E12" s="1128"/>
      <c r="F12" s="1128"/>
      <c r="G12" s="1128"/>
      <c r="H12" s="1128"/>
      <c r="I12" s="1128"/>
      <c r="J12" s="1128"/>
      <c r="K12" s="1128"/>
      <c r="L12" s="1128"/>
      <c r="M12" s="1128"/>
      <c r="N12" s="1128"/>
      <c r="O12" s="1128"/>
      <c r="P12" s="1128"/>
      <c r="Q12" s="1128"/>
      <c r="R12" s="1128"/>
      <c r="S12" s="1128"/>
      <c r="T12" s="1128"/>
      <c r="U12" s="1128"/>
      <c r="V12" s="1128"/>
      <c r="W12" s="367"/>
      <c r="X12" s="17"/>
      <c r="Y12" s="1132"/>
      <c r="Z12" s="1133"/>
      <c r="AA12" s="1133"/>
      <c r="AB12" s="1133"/>
      <c r="AC12" s="1133"/>
      <c r="AD12" s="1134"/>
      <c r="AE12" s="41"/>
      <c r="AF12" s="831" t="s">
        <v>2163</v>
      </c>
      <c r="AG12" s="106" t="str">
        <f t="shared" ref="AG12:AG58" si="0">IF(TYPE(VLOOKUP(AF12,$D$25:$D$60,1,FALSE)*1)=1,VLOOKUP(AF12,$D$25:$AA$60,24,FALSE),IF(TYPE(VLOOKUP(AF12,$N$25:$N$60,1,FALSE)*1)=1,VLOOKUP(AF12,$N$25:$AD$60,17,FALSE),"ERROR"))</f>
        <v>12|</v>
      </c>
      <c r="AH12" s="171" t="str">
        <f ca="1">RIGHT(AJ10,1)&amp;1</f>
        <v>A1</v>
      </c>
      <c r="AI12" s="168">
        <f ca="1">$AU$83</f>
        <v>1</v>
      </c>
      <c r="AJ12" s="160" t="str">
        <f ca="1">VLOOKUP(AH12,Voorblad!$X$67:$Z$98,2,FALSE)</f>
        <v>Duitsland</v>
      </c>
      <c r="AK12" s="159" t="str">
        <f ca="1">VLOOKUP(AH12,Voorblad!$X$67:$Z$98,3,FALSE)</f>
        <v>DE</v>
      </c>
      <c r="AL12" s="203">
        <v>0</v>
      </c>
      <c r="AM12" s="206">
        <f>IF(ISNUMBER(J25),J25,0)</f>
        <v>3</v>
      </c>
      <c r="AN12" s="206">
        <f>IF(ISNUMBER(J27),J27,0)</f>
        <v>2</v>
      </c>
      <c r="AO12" s="206">
        <f>IF(ISNUMBER(L29),L29,0)</f>
        <v>2</v>
      </c>
      <c r="AP12" s="155">
        <f>IF(AA25&lt;&gt;"FOUT",IF(AM12&gt;AL13,3,IF(AM12=AL13,1,0)),0)+IF(AA27&lt;&gt;"FOUT",IF(AN12&gt;AL14,3,IF(AN12=AL14,1,0)),0)+IF(AA29&lt;&gt;"FOUT",IF(AO12&gt;AL15,3,IF(AO12=AL15,1,0)),0)</f>
        <v>9</v>
      </c>
      <c r="AQ12" s="158">
        <f>SUM(AL12:AO12)</f>
        <v>7</v>
      </c>
      <c r="AR12" s="157">
        <f>SUM(AL12:AL15)</f>
        <v>1</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95060703500001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5"/>
      <c r="Z13" s="1136"/>
      <c r="AA13" s="1136"/>
      <c r="AB13" s="1136"/>
      <c r="AC13" s="1136"/>
      <c r="AD13" s="1137"/>
      <c r="AE13" s="41"/>
      <c r="AF13" s="831" t="s">
        <v>2164</v>
      </c>
      <c r="AG13" s="106" t="str">
        <f t="shared" ca="1" si="0"/>
        <v>20|</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0</v>
      </c>
      <c r="AO13" s="163">
        <f>IF(ISNUMBER(J28),J28,0)</f>
        <v>1</v>
      </c>
      <c r="AP13" s="151">
        <f>IF(AA25&lt;&gt;"FOUT",IF(AL13&gt;AM12,3,IF(AL13=AM12,1,0)),0)+IF(AA30&lt;&gt;"FOUT",IF(AN13&gt;AM14,3,IF(AN13=AM14,1,0)),0)+IF(AA28&lt;&gt;"FOUT",IF(AO13&gt;AM15,3,IF(AO13=AM15,1,0)),0)</f>
        <v>0</v>
      </c>
      <c r="AQ13" s="153">
        <f>SUM(AL13:AO13)</f>
        <v>1</v>
      </c>
      <c r="AR13" s="152">
        <f>SUM(AM12:AM15)</f>
        <v>6</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4950103500003</v>
      </c>
      <c r="BA13" s="221">
        <f ca="1">RANK(AZ13,AZ12:AZ15)</f>
        <v>4</v>
      </c>
      <c r="BB13" s="403"/>
    </row>
    <row r="14" spans="1:59" ht="15" customHeight="1" x14ac:dyDescent="0.25">
      <c r="B14" s="17"/>
      <c r="C14" s="383"/>
      <c r="D14" s="1119" t="str">
        <f ca="1">Taal04!B44</f>
        <v>De achtergrondkleur van de in te vullen velden geeft de status van het veld aan. Deze status correspondeert met de tabel hier rechts.</v>
      </c>
      <c r="E14" s="1119"/>
      <c r="F14" s="1119"/>
      <c r="G14" s="1119"/>
      <c r="H14" s="1119"/>
      <c r="I14" s="1119"/>
      <c r="J14" s="1119"/>
      <c r="K14" s="1119"/>
      <c r="L14" s="1119"/>
      <c r="M14" s="1119"/>
      <c r="N14" s="1119"/>
      <c r="O14" s="1119"/>
      <c r="P14" s="59"/>
      <c r="Q14" s="19"/>
      <c r="R14" s="18" t="s">
        <v>1884</v>
      </c>
      <c r="S14" s="943" t="str">
        <f ca="1">Taal04!B45</f>
        <v>Goed ingevuld</v>
      </c>
      <c r="T14" s="943"/>
      <c r="U14" s="943"/>
      <c r="V14" s="943"/>
      <c r="W14" s="367"/>
      <c r="X14" s="17"/>
      <c r="Y14" s="252"/>
      <c r="Z14" s="252"/>
      <c r="AA14" s="252"/>
      <c r="AB14" s="253"/>
      <c r="AC14" s="254" t="s">
        <v>2165</v>
      </c>
      <c r="AD14" s="255">
        <f ca="1">LEN(Y11)</f>
        <v>109</v>
      </c>
      <c r="AE14" s="41"/>
      <c r="AF14" s="831" t="s">
        <v>2166</v>
      </c>
      <c r="AG14" s="106" t="str">
        <f t="shared" ca="1" si="0"/>
        <v>30|</v>
      </c>
      <c r="AH14" s="171" t="str">
        <f ca="1">RIGHT(AJ10,1)&amp;3</f>
        <v>A3</v>
      </c>
      <c r="AI14" s="168">
        <f ca="1">$AW$83</f>
        <v>2</v>
      </c>
      <c r="AJ14" s="154" t="str">
        <f ca="1">VLOOKUP(AH14,Voorblad!$X$67:$Z$98,2,FALSE)</f>
        <v>Hongarije</v>
      </c>
      <c r="AK14" s="110" t="str">
        <f ca="1">VLOOKUP(AH14,Voorblad!$X$67:$Z$98,3,FALSE)</f>
        <v>HU</v>
      </c>
      <c r="AL14" s="207">
        <f>IF(ISNUMBER(L27),L27,0)</f>
        <v>0</v>
      </c>
      <c r="AM14" s="163">
        <f>IF(ISNUMBER(L30),L30,0)</f>
        <v>1</v>
      </c>
      <c r="AN14" s="202">
        <v>0</v>
      </c>
      <c r="AO14" s="163">
        <f>IF(ISNUMBER(J26),J26,0)</f>
        <v>1</v>
      </c>
      <c r="AP14" s="151">
        <f>IF(AA27&lt;&gt;"FOUT",IF(AL14&gt;AN12,3,IF(AL14=AN12,1,0)),0)+IF(AA30&lt;&gt;"FOUT",IF(AM14&gt;AN13,3,IF(AM14=AN13,1,0)),0)+IF(AA26&lt;&gt;"FOUT",IF(AO14&gt;AN15,3,IF(AO14=AN15,1,0)),0)</f>
        <v>3</v>
      </c>
      <c r="AQ14" s="153">
        <f>SUM(AL14:AO14)</f>
        <v>2</v>
      </c>
      <c r="AR14" s="152">
        <f>SUM(AN12:AN15)</f>
        <v>4</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34980203500002</v>
      </c>
      <c r="BA14" s="221">
        <f ca="1">RANK(AZ14,AZ12:AZ15)</f>
        <v>3</v>
      </c>
      <c r="BB14" s="403"/>
    </row>
    <row r="15" spans="1:59" ht="15" customHeight="1" x14ac:dyDescent="0.25">
      <c r="B15" s="17"/>
      <c r="C15" s="383"/>
      <c r="D15" s="1119"/>
      <c r="E15" s="1119"/>
      <c r="F15" s="1119"/>
      <c r="G15" s="1119"/>
      <c r="H15" s="1119"/>
      <c r="I15" s="1119"/>
      <c r="J15" s="1119"/>
      <c r="K15" s="1119"/>
      <c r="L15" s="1119"/>
      <c r="M15" s="1119"/>
      <c r="N15" s="1119"/>
      <c r="O15" s="1119"/>
      <c r="P15" s="59"/>
      <c r="Q15" s="20"/>
      <c r="R15" s="18" t="s">
        <v>1884</v>
      </c>
      <c r="S15" s="1120" t="str">
        <f ca="1">Taal04!B46</f>
        <v>Niet ingevuld</v>
      </c>
      <c r="T15" s="1120"/>
      <c r="U15" s="1120"/>
      <c r="V15" s="1120"/>
      <c r="W15" s="367"/>
      <c r="X15" s="17"/>
      <c r="Y15" s="252"/>
      <c r="Z15" s="252"/>
      <c r="AA15" s="252"/>
      <c r="AB15" s="256"/>
      <c r="AC15" s="256"/>
      <c r="AD15" s="256"/>
      <c r="AE15" s="41"/>
      <c r="AF15" s="831" t="s">
        <v>2167</v>
      </c>
      <c r="AG15" s="106" t="str">
        <f t="shared" ca="1" si="0"/>
        <v>12|</v>
      </c>
      <c r="AH15" s="171" t="str">
        <f ca="1">RIGHT(AJ10,1)&amp;4</f>
        <v>A4</v>
      </c>
      <c r="AI15" s="168">
        <f ca="1">$AX$83</f>
        <v>4</v>
      </c>
      <c r="AJ15" s="150" t="str">
        <f ca="1">VLOOKUP(AH15,Voorblad!$X$67:$Z$98,2,FALSE)</f>
        <v>Zwitserland</v>
      </c>
      <c r="AK15" s="149" t="str">
        <f ca="1">VLOOKUP(AH15,Voorblad!$X$67:$Z$98,3,FALSE)</f>
        <v>CH</v>
      </c>
      <c r="AL15" s="208">
        <f>IF(ISNUMBER(J29),J29,0)</f>
        <v>1</v>
      </c>
      <c r="AM15" s="209">
        <f>IF(ISNUMBER(L28),L28,0)</f>
        <v>2</v>
      </c>
      <c r="AN15" s="209">
        <f>IF(ISNUMBER(L26),L26,0)</f>
        <v>2</v>
      </c>
      <c r="AO15" s="210">
        <v>0</v>
      </c>
      <c r="AP15" s="145">
        <f>IF(AA29&lt;&gt;"FOUT",IF(AL15&gt;AO12,3,IF(AL15=AO12,1,0)),0)+IF(AA28&lt;&gt;"FOUT",IF(AM15&gt;AO13,3,IF(AM15=AO13,1,0)),0)+IF(AA26&lt;&gt;"FOUT",IF(AN15&gt;AO14,3,IF(AN15=AO14,1,0)),0)</f>
        <v>6</v>
      </c>
      <c r="AQ15" s="148">
        <f>SUM(AL15:AO15)</f>
        <v>5</v>
      </c>
      <c r="AR15" s="147">
        <f>SUM(AO12:AO15)</f>
        <v>4</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65010503500004</v>
      </c>
      <c r="BA15" s="222">
        <f ca="1">RANK(AZ15,AZ12:AZ15)</f>
        <v>2</v>
      </c>
      <c r="BB15" s="403"/>
    </row>
    <row r="16" spans="1:59" ht="15" customHeight="1" x14ac:dyDescent="0.25">
      <c r="B16" s="17"/>
      <c r="C16" s="383"/>
      <c r="D16" s="1119"/>
      <c r="E16" s="1119"/>
      <c r="F16" s="1119"/>
      <c r="G16" s="1119"/>
      <c r="H16" s="1119"/>
      <c r="I16" s="1119"/>
      <c r="J16" s="1119"/>
      <c r="K16" s="1119"/>
      <c r="L16" s="1119"/>
      <c r="M16" s="1119"/>
      <c r="N16" s="1119"/>
      <c r="O16" s="1119"/>
      <c r="P16" s="15"/>
      <c r="Q16" s="21"/>
      <c r="R16" s="18" t="s">
        <v>1884</v>
      </c>
      <c r="S16" s="1120" t="str">
        <f ca="1">Taal04!B47</f>
        <v>Fout ingevuld</v>
      </c>
      <c r="T16" s="1120"/>
      <c r="U16" s="1120"/>
      <c r="V16" s="1120"/>
      <c r="W16" s="367"/>
      <c r="X16" s="17"/>
      <c r="Y16" s="252"/>
      <c r="Z16" s="252"/>
      <c r="AA16" s="252"/>
      <c r="AB16" s="252"/>
      <c r="AC16" s="257" t="s">
        <v>2168</v>
      </c>
      <c r="AD16" s="258" t="str">
        <f ca="1">IF(LEN(SUBSTITUTE(Y11,"FOUT","ONGELDIG"))=AD14,"GOED","FOUT")</f>
        <v>GOED</v>
      </c>
      <c r="AE16" s="41"/>
      <c r="AF16" s="832" t="s">
        <v>2169</v>
      </c>
      <c r="AG16" s="106" t="str">
        <f ca="1">IF(TYPE(VLOOKUP(AF16,$D$25:$D$60,1,FALSE)*1)=1,VLOOKUP(AF16,$D$25:$AA$60,24,FALSE),IF(TYPE(VLOOKUP(AF16,$N$25:$N$60,1,FALSE)*1)=1,VLOOKUP(AF16,$N$25:$AD$60,17,FALSE),"ERROR"))</f>
        <v>01|</v>
      </c>
      <c r="AH16" s="70"/>
      <c r="AI16" s="70"/>
      <c r="AJ16" s="70" t="s">
        <v>2170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14" t="s">
        <v>2171</v>
      </c>
      <c r="Z17" s="1114"/>
      <c r="AA17" s="1114"/>
      <c r="AB17" s="1114"/>
      <c r="AC17" s="1114"/>
      <c r="AD17" s="1114"/>
      <c r="AE17" s="283"/>
      <c r="AF17" s="831" t="s">
        <v>2172</v>
      </c>
      <c r="AG17" s="106" t="str">
        <f ca="1">IF(TYPE(VLOOKUP(AF17,$D$25:$D$60,1,FALSE)*1)=1,VLOOKUP(AF17,$D$25:$AA$60,24,FALSE),IF(TYPE(VLOOKUP(AF17,$N$25:$N$60,1,FALSE)*1)=1,VLOOKUP(AF17,$N$25:$AD$60,17,FALSE),"ERROR"))</f>
        <v>02|</v>
      </c>
      <c r="AH17" s="1116"/>
      <c r="AI17" s="1116"/>
      <c r="AJ17" s="70"/>
      <c r="AK17" s="1116" t="s">
        <v>2153</v>
      </c>
      <c r="AL17" s="1116" t="str">
        <f ca="1">AJ21</f>
        <v>Spanje</v>
      </c>
      <c r="AM17" s="1116" t="str">
        <f ca="1">AJ22</f>
        <v>Kroatië</v>
      </c>
      <c r="AN17" s="1116" t="str">
        <f ca="1">AJ23</f>
        <v>Italië</v>
      </c>
      <c r="AO17" s="1116" t="str">
        <f ca="1">AJ24</f>
        <v>Albanië</v>
      </c>
      <c r="AP17" s="1116" t="s">
        <v>578</v>
      </c>
      <c r="AQ17" s="1116" t="s">
        <v>2154</v>
      </c>
      <c r="AR17" s="1116" t="s">
        <v>2155</v>
      </c>
      <c r="AS17" s="1116" t="str">
        <f ca="1">"Gelijk met "&amp;AH21</f>
        <v>Gelijk met B1</v>
      </c>
      <c r="AT17" s="1116" t="str">
        <f ca="1">"Gelijk met "&amp;AH22</f>
        <v>Gelijk met B2</v>
      </c>
      <c r="AU17" s="1116" t="str">
        <f ca="1">"Gelijk met "&amp;AH23</f>
        <v>Gelijk met B3</v>
      </c>
      <c r="AV17" s="1116" t="str">
        <f ca="1">"Gelijk met "&amp;AH24</f>
        <v>Gelijk met B4</v>
      </c>
      <c r="AW17" s="1116" t="s">
        <v>578</v>
      </c>
      <c r="AX17" s="1116" t="s">
        <v>2154</v>
      </c>
      <c r="AY17" s="1116" t="s">
        <v>2155</v>
      </c>
      <c r="AZ17" s="1116" t="s">
        <v>2156</v>
      </c>
      <c r="BA17" s="1116" t="s">
        <v>2157</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2173</v>
      </c>
      <c r="AA18" s="284" t="s">
        <v>2174</v>
      </c>
      <c r="AB18" s="284" t="s">
        <v>2175</v>
      </c>
      <c r="AC18" s="284" t="s">
        <v>2176</v>
      </c>
      <c r="AD18" s="284" t="s">
        <v>2177</v>
      </c>
      <c r="AE18" s="284" t="s">
        <v>2178</v>
      </c>
      <c r="AF18" s="251">
        <v>10</v>
      </c>
      <c r="AG18" s="106" t="str">
        <f ca="1">IF(TYPE(VLOOKUP(AF18,$D$25:$D$60,1,FALSE)*1)=1,VLOOKUP(AF18,$D$25:$AA$60,24,FALSE),IF(TYPE(VLOOKUP(AF18,$N$25:$N$60,1,FALSE)*1)=1,VLOOKUP(AF18,$N$25:$AD$60,17,FALSE),"ERROR"))</f>
        <v>02|</v>
      </c>
      <c r="AH18" s="1116"/>
      <c r="AI18" s="1116"/>
      <c r="AJ18" s="70"/>
      <c r="AK18" s="1116"/>
      <c r="AL18" s="1116"/>
      <c r="AM18" s="1116"/>
      <c r="AN18" s="1116"/>
      <c r="AO18" s="1116"/>
      <c r="AP18" s="1116"/>
      <c r="AQ18" s="1116"/>
      <c r="AR18" s="1116"/>
      <c r="AS18" s="1116"/>
      <c r="AT18" s="1116"/>
      <c r="AU18" s="1116"/>
      <c r="AV18" s="1116"/>
      <c r="AW18" s="1116"/>
      <c r="AX18" s="1116"/>
      <c r="AY18" s="1116"/>
      <c r="AZ18" s="1116"/>
      <c r="BA18" s="1116"/>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2179</v>
      </c>
      <c r="Z19" s="285">
        <f>IF(LEN(AA25)=3,IF(J25=L25,0,1),0)+IF(LEN(AA26)=3,IF(J26=L26,0,1),0)+IF(LEN(AA27)=3,IF(J27=L27,0,1),0)+IF(LEN(AA28)=3,IF(J28=L28,0,1),0)+IF(LEN(AA29)=3,IF(J29=L29,0,1),0)+IF(LEN(AA30)=3,IF(J30=L30,0,1),0)+IF(LEN(AD25)=3,IF(T25=V25,0,1),0)+IF(LEN(AD26)=3,IF(T26=V26,0,1),0)+IF(LEN(AD27)=3,IF(T27=V27,0,1),0)+IF(LEN(AD28)=3,IF(T28=V28,0,1),0)+IF(LEN(AD29)=3,IF(T29=V29,0,1),0)+IF(LEN(AD30)=3,IF(T30=V30,0,1),0)</f>
        <v>10</v>
      </c>
      <c r="AA19" s="285">
        <f>IF(LEN(AA35)=3,IF(J35=L35,0,1),0)+IF(LEN(AA36)=3,IF(J36=L36,0,1),0)+IF(LEN(AA38)=3,IF(J38=L38,0,1),0)+IF(LEN(AA37)=3,IF(J37=L37,0,1),0)+IF(LEN(AA39)=3,IF(J39=L39,0,1),0)+IF(LEN(AA40)=3,IF(J40=L40,0,1),0)+IF(LEN(AD35)=3,IF(T35=V35,0,1),0)+IF(LEN(AD36)=3,IF(T36=V36,0,1),0)+IF(LEN(AD37)=3,IF(T37=V37,0,1),0)+IF(LEN(AD38)=3,IF(T38=V38,0,1),0)+IF(LEN(AD39)=3,IF(T39=V39,0,1),0)+IF(LEN(AD40)=3,IF(T40=V40,0,1),0)</f>
        <v>11</v>
      </c>
      <c r="AB19" s="285">
        <f>IF(LEN(AA45)=3,IF(J45=L45,0,1),0)+IF(LEN(AA46)=3,IF(J46=L46,0,1),0)+IF(LEN(AA47)=3,IF(J47=L47,0,1),0)+IF(LEN(AA48)=3,IF(J48=L48,0,1),0)+IF(LEN(AA49)=3,IF(J49=L49,0,1),0)+IF(LEN(AA50)=3,IF(J50=L50,0,1),0)+IF(LEN(AD45)=3,IF(T45=V45,0,1),0)+IF(LEN(AD46)=3,IF(T46=V46,0,1),0)+IF(LEN(AD48)=3,IF(T48=V48,0,1),0)+IF(LEN(AD47)=3,IF(T47=V47,0,1),0)+IF(LEN(AD49)=3,IF(T49=V49,0,1),0)+IF(LEN(AD50)=3,IF(T50=V50,0,1),0)</f>
        <v>11</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32</v>
      </c>
      <c r="AE19" s="284" t="s">
        <v>2180</v>
      </c>
      <c r="AF19" s="831" t="s">
        <v>2181</v>
      </c>
      <c r="AG19" s="106" t="str">
        <f t="shared" ca="1" si="0"/>
        <v>21|</v>
      </c>
      <c r="AH19" s="1116"/>
      <c r="AI19" s="1116"/>
      <c r="AJ19" s="161" t="str">
        <f ca="1">N23</f>
        <v>Groep B</v>
      </c>
      <c r="AK19" s="1116"/>
      <c r="AL19" s="1116"/>
      <c r="AM19" s="1116"/>
      <c r="AN19" s="1116"/>
      <c r="AO19" s="1116"/>
      <c r="AP19" s="1116"/>
      <c r="AQ19" s="1116"/>
      <c r="AR19" s="1116"/>
      <c r="AS19" s="1116"/>
      <c r="AT19" s="1116"/>
      <c r="AU19" s="1116"/>
      <c r="AV19" s="1116"/>
      <c r="AW19" s="1116"/>
      <c r="AX19" s="1116"/>
      <c r="AY19" s="1116"/>
      <c r="AZ19" s="1116"/>
      <c r="BA19" s="1116"/>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2182</v>
      </c>
      <c r="Z20" s="285">
        <f>IF(LEN(AA25)=3,IF(J25=L25,1,0),0)+IF(LEN(AA26)=3,IF(J26=L26,1,0),0)+IF(LEN(AA27)=3,IF(J27=L27,1,0),0)+IF(LEN(AA28)=3,IF(J28=L28,1,0),0)+IF(LEN(AA29)=3,IF(J29=L29,1,0),0)+IF(LEN(AA30)=3,IF(J30=L30,1,0),0)+IF(LEN(AD25)=3,IF(T25=V25,1,0),0)+IF(LEN(AD26)=3,IF(T26=V26,1,0),0)+IF(LEN(AD27)=3,IF(T27=V27,1,0),0)+IF(LEN(AD28)=3,IF(T28=V28,1,0),0)+IF(LEN(AD29)=3,IF(T29=V29,1,0),0)+IF(LEN(AD30)=3,IF(T30=V30,1,0),0)</f>
        <v>2</v>
      </c>
      <c r="AA20" s="285">
        <f>IF(LEN(AA35)=3,IF(J35=L35,1,0),0)+IF(LEN(AA36)=3,IF(J36=L36,1,0),0)+IF(LEN(AA38)=3,IF(J38=L38,1,0),0)+IF(LEN(AA37)=3,IF(J37=L37,1,0),0)+IF(LEN(AA39)=3,IF(J39=L39,1,0),0)+IF(LEN(AA40)=3,IF(J40=L40,1,0),0)+IF(LEN(AD35)=3,IF(T35=V35,1,0),0)+IF(LEN(AD36)=3,IF(T36=V36,1,0),0)+IF(LEN(AD37)=3,IF(T37=V37,1,0),0)+IF(LEN(AD38)=3,IF(T38=V38,1,0),0)+IF(LEN(AD39)=3,IF(T39=V39,1,0),0)+IF(LEN(AD40)=3,IF(T40=V40,1,0),0)</f>
        <v>1</v>
      </c>
      <c r="AB20" s="285">
        <f>IF(LEN(AA45)=3,IF(J45=L45,1,0),0)+IF(LEN(AA46)=3,IF(J46=L46,1,0),0)+IF(LEN(AA47)=3,IF(J47=L47,1,0),0)+IF(LEN(AA48)=3,IF(J48=L48,1,0),0)+IF(LEN(AA49)=3,IF(J49=L49,1,0),0)+IF(LEN(AA50)=3,IF(J50=L50,1,0),0)+IF(LEN(AD45)=3,IF(T45=V45,1,0),0)+IF(LEN(AD46)=3,IF(T46=V46,1,0),0)+IF(LEN(AD48)=3,IF(T48=V48,1,0),0)+IF(LEN(AD47)=3,IF(T47=V47,1,0),0)+IF(LEN(AD49)=3,IF(T49=V49,1,0),0)+IF(LEN(AD50)=3,IF(T50=V50,1,0),0)</f>
        <v>1</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4</v>
      </c>
      <c r="AE20" s="284" t="s">
        <v>2183</v>
      </c>
      <c r="AF20" s="831" t="s">
        <v>2184</v>
      </c>
      <c r="AG20" s="106" t="str">
        <f t="shared" ca="1" si="0"/>
        <v>03|</v>
      </c>
      <c r="AH20" s="1116"/>
      <c r="AI20" s="1116"/>
      <c r="AJ20" s="70" t="s">
        <v>2162</v>
      </c>
      <c r="AK20" s="1116"/>
      <c r="AL20" s="1116"/>
      <c r="AM20" s="1116"/>
      <c r="AN20" s="1116"/>
      <c r="AO20" s="1116"/>
      <c r="AP20" s="1116"/>
      <c r="AQ20" s="1116"/>
      <c r="AR20" s="1116"/>
      <c r="AS20" s="1116"/>
      <c r="AT20" s="1116"/>
      <c r="AU20" s="1116"/>
      <c r="AV20" s="1116"/>
      <c r="AW20" s="1116"/>
      <c r="AX20" s="1116"/>
      <c r="AY20" s="1116"/>
      <c r="AZ20" s="1116"/>
      <c r="BA20" s="1116"/>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2185</v>
      </c>
      <c r="AD21" s="109">
        <f>Reglement!Q81</f>
        <v>1</v>
      </c>
      <c r="AE21" s="848" t="s">
        <v>2186</v>
      </c>
      <c r="AF21" s="106">
        <v>11</v>
      </c>
      <c r="AG21" s="106" t="str">
        <f t="shared" ca="1" si="0"/>
        <v>31|</v>
      </c>
      <c r="AH21" s="171" t="str">
        <f ca="1">RIGHT(AJ19,1)&amp;1</f>
        <v>B1</v>
      </c>
      <c r="AI21" s="168">
        <f ca="1">$AU$84</f>
        <v>4</v>
      </c>
      <c r="AJ21" s="160" t="str">
        <f ca="1">VLOOKUP(AH21,Voorblad!$X$67:$Z$98,2,FALSE)</f>
        <v>Spanje</v>
      </c>
      <c r="AK21" s="159" t="str">
        <f ca="1">VLOOKUP(AH21,Voorblad!$X$67:$Z$98,3,FALSE)</f>
        <v>ES</v>
      </c>
      <c r="AL21" s="203">
        <v>0</v>
      </c>
      <c r="AM21" s="206">
        <f>IF(ISNUMBER(T25),T25,0)</f>
        <v>2</v>
      </c>
      <c r="AN21" s="206">
        <f>IF(ISNUMBER(T28),T28,0)</f>
        <v>1</v>
      </c>
      <c r="AO21" s="206">
        <f>IF(ISNUMBER(V29),V29,0)</f>
        <v>4</v>
      </c>
      <c r="AP21" s="155">
        <f>IF(AD25&lt;&gt;"FOUT",IF(AM21&gt;AL22,3,IF(AM21=AL22,1,0)),0)+IF(AD28&lt;&gt;"FOUT",IF(AN21&gt;AL23,3,IF(AN21=AL23,1,0)),0)+IF(AD29&lt;&gt;"FOUT",IF(AO21&gt;AL24,3,IF(AO21=AL24,1,0)),0)</f>
        <v>7</v>
      </c>
      <c r="AQ21" s="158">
        <f>SUM(AL21:AO21)</f>
        <v>7</v>
      </c>
      <c r="AR21" s="157">
        <f>SUM(AL21:AL24)</f>
        <v>1</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75060703500004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5</v>
      </c>
      <c r="AF22" s="251">
        <v>12</v>
      </c>
      <c r="AG22" s="106" t="str">
        <f t="shared" ca="1" si="0"/>
        <v>31|</v>
      </c>
      <c r="AH22" s="171" t="str">
        <f ca="1">RIGHT(AJ19,1)&amp;2</f>
        <v>B2</v>
      </c>
      <c r="AI22" s="168">
        <f ca="1">$AV$84</f>
        <v>3</v>
      </c>
      <c r="AJ22" s="154" t="str">
        <f ca="1">VLOOKUP(AH22,Voorblad!$X$67:$Z$98,2,FALSE)</f>
        <v>Kroatië</v>
      </c>
      <c r="AK22" s="110" t="str">
        <f ca="1">VLOOKUP(AH22,Voorblad!$X$67:$Z$98,3,FALSE)</f>
        <v>HR</v>
      </c>
      <c r="AL22" s="207">
        <f>IF(ISNUMBER(V25),V25,0)</f>
        <v>0</v>
      </c>
      <c r="AM22" s="202">
        <v>0</v>
      </c>
      <c r="AN22" s="163">
        <f>IF(ISNUMBER(T30),T30,0)</f>
        <v>1</v>
      </c>
      <c r="AO22" s="163">
        <f>IF(ISNUMBER(T27),T27,0)</f>
        <v>2</v>
      </c>
      <c r="AP22" s="151">
        <f>IF(AD25&lt;&gt;"FOUT",IF(AL22&gt;AM21,3,IF(AL22=AM21,1,0)),0)+IF(AD30&lt;&gt;"FOUT",IF(AN22&gt;AM23,3,IF(AN22=AM23,1,0)),0)+IF(AD27&lt;&gt;"FOUT",IF(AO22&gt;AM24,3,IF(AO22=AM24,1,0)),0)</f>
        <v>4</v>
      </c>
      <c r="AQ22" s="153">
        <f>SUM(AL22:AO22)</f>
        <v>3</v>
      </c>
      <c r="AR22" s="152">
        <f>SUM(AM21:AM24)</f>
        <v>3</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45000303500003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17" t="str">
        <f ca="1">"Controle "&amp;D23</f>
        <v>Controle Groep A</v>
      </c>
      <c r="Z23" s="1117"/>
      <c r="AA23" s="1117"/>
      <c r="AB23" s="1117" t="str">
        <f ca="1">"Controle "&amp;N23</f>
        <v>Controle Groep B</v>
      </c>
      <c r="AC23" s="1117"/>
      <c r="AD23" s="1117"/>
      <c r="AE23" s="849"/>
      <c r="AF23" s="251">
        <v>15</v>
      </c>
      <c r="AG23" s="106" t="str">
        <f ca="1">IF(TYPE(VLOOKUP(AF23,$D$25:$D$60,1,FALSE)*1)=1,VLOOKUP(AF23,$D$25:$AA$60,24,FALSE),IF(TYPE(VLOOKUP(AF23,$N$25:$N$60,1,FALSE)*1)=1,VLOOKUP(AF23,$N$25:$AD$60,17,FALSE),"ERROR"))</f>
        <v>20|</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1</v>
      </c>
      <c r="AN23" s="202">
        <v>0</v>
      </c>
      <c r="AO23" s="163">
        <f>IF(ISNUMBER(T26),T26,0)</f>
        <v>3</v>
      </c>
      <c r="AP23" s="151">
        <f>IF(AD28&lt;&gt;"FOUT",IF(AL23&gt;AN21,3,IF(AL23=AN21,1,0)),0)+IF(AD30&lt;&gt;"FOUT",IF(AM23&gt;AN22,3,IF(AM23=AN22,1,0)),0)+IF(AD26&lt;&gt;"FOUT",IF(AO23&gt;AN24,3,IF(AO23=AN24,1,0)),0)</f>
        <v>5</v>
      </c>
      <c r="AQ23" s="153">
        <f>SUM(AL23:AO23)</f>
        <v>5</v>
      </c>
      <c r="AR23" s="152">
        <f>SUM(AN21:AN24)</f>
        <v>2</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55030503500002</v>
      </c>
      <c r="BA23" s="215">
        <f ca="1">RANK(AZ23,AZ21:AZ24)</f>
        <v>2</v>
      </c>
    </row>
    <row r="24" spans="1:53" s="166" customFormat="1" ht="15" customHeight="1" x14ac:dyDescent="0.25">
      <c r="B24" s="17"/>
      <c r="C24" s="949"/>
      <c r="D24" s="107"/>
      <c r="E24" s="939" t="str">
        <f ca="1">Taal04!$B$20</f>
        <v>Datum</v>
      </c>
      <c r="F24" s="939" t="str">
        <f ca="1">Taal04!$B$21</f>
        <v>Tijd</v>
      </c>
      <c r="G24" s="1142" t="str">
        <f ca="1">Taal04!$B$22</f>
        <v>Wedstrijd</v>
      </c>
      <c r="H24" s="1142"/>
      <c r="I24" s="1142"/>
      <c r="J24" s="1142" t="str">
        <f ca="1">Taal04!$B$24</f>
        <v>Eindstand</v>
      </c>
      <c r="K24" s="1143"/>
      <c r="L24" s="1143"/>
      <c r="M24" s="17"/>
      <c r="N24" s="107"/>
      <c r="O24" s="939" t="str">
        <f ca="1">Taal04!$B$20</f>
        <v>Datum</v>
      </c>
      <c r="P24" s="939" t="str">
        <f ca="1">Taal04!$B$21</f>
        <v>Tijd</v>
      </c>
      <c r="Q24" s="1142" t="str">
        <f ca="1">Taal04!$B$22</f>
        <v>Wedstrijd</v>
      </c>
      <c r="R24" s="1142"/>
      <c r="S24" s="1142"/>
      <c r="T24" s="1142" t="str">
        <f ca="1">Taal04!$B$24</f>
        <v>Eindstand</v>
      </c>
      <c r="U24" s="1143"/>
      <c r="V24" s="1143"/>
      <c r="W24" s="60"/>
      <c r="X24" s="17"/>
      <c r="Y24" s="4" t="s">
        <v>2187</v>
      </c>
      <c r="Z24" s="4" t="s">
        <v>2188</v>
      </c>
      <c r="AA24" s="138" t="s">
        <v>2142</v>
      </c>
      <c r="AB24" s="4" t="s">
        <v>2187</v>
      </c>
      <c r="AC24" s="4" t="s">
        <v>2188</v>
      </c>
      <c r="AD24" s="138" t="s">
        <v>2142</v>
      </c>
      <c r="AE24" s="849"/>
      <c r="AF24" s="251">
        <v>14</v>
      </c>
      <c r="AG24" s="106" t="str">
        <f t="shared" si="0"/>
        <v>20|</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9</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4910003500001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2189</v>
      </c>
      <c r="I25" s="327" t="str">
        <f ca="1">AJ13</f>
        <v>Schotland</v>
      </c>
      <c r="J25" s="353">
        <v>3</v>
      </c>
      <c r="K25" s="54" t="s">
        <v>2189</v>
      </c>
      <c r="L25" s="353">
        <v>0</v>
      </c>
      <c r="M25" s="9"/>
      <c r="N25" s="6" t="str">
        <f>"03"</f>
        <v>03</v>
      </c>
      <c r="O25" s="11">
        <f>DATE(2024,6,15)+TIME(18,0,0)</f>
        <v>45458.75</v>
      </c>
      <c r="P25" s="134">
        <f t="shared" ref="P25:P30" si="2">O25+TIME(0,0,0)</f>
        <v>45458.75</v>
      </c>
      <c r="Q25" s="8" t="str">
        <f ca="1">AJ21</f>
        <v>Spanje</v>
      </c>
      <c r="R25" s="7" t="s">
        <v>2189</v>
      </c>
      <c r="S25" s="327" t="str">
        <f ca="1">AJ22</f>
        <v>Kroatië</v>
      </c>
      <c r="T25" s="353">
        <v>2</v>
      </c>
      <c r="U25" s="54" t="s">
        <v>2189</v>
      </c>
      <c r="V25" s="353">
        <v>0</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30|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20|</v>
      </c>
      <c r="AE25" s="285">
        <f t="shared" ref="AE25:AE30" si="9">IF(AND(Y25="GOED",Z25="GOED",AB25="GOED",AB25="GOED"),IF(J25+L25&gt;T25+V25,J25+L25,T25+V25),IF(AND(Y25="GOED",Z25="GOED"),J25+L25,IF(AND(AB25="GOED",AB25="GOED"),T25+V25,0)))</f>
        <v>3</v>
      </c>
      <c r="AF25" s="251">
        <v>13</v>
      </c>
      <c r="AG25" s="106" t="str">
        <f t="shared" si="0"/>
        <v>12|</v>
      </c>
      <c r="AH25" s="70"/>
      <c r="AI25" s="70"/>
      <c r="AJ25" s="70" t="s">
        <v>2170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2189</v>
      </c>
      <c r="I26" s="327" t="str">
        <f ca="1">AJ15</f>
        <v>Zwitserland</v>
      </c>
      <c r="J26" s="353">
        <v>1</v>
      </c>
      <c r="K26" s="54" t="s">
        <v>2189</v>
      </c>
      <c r="L26" s="353">
        <v>2</v>
      </c>
      <c r="M26" s="9"/>
      <c r="N26" s="6" t="str">
        <f>"04"</f>
        <v>04</v>
      </c>
      <c r="O26" s="11">
        <f>DATE(2024,6,15)+TIME(21,0,0)</f>
        <v>45458.875</v>
      </c>
      <c r="P26" s="134">
        <f t="shared" si="2"/>
        <v>45458.875</v>
      </c>
      <c r="Q26" s="8" t="str">
        <f ca="1">AJ23</f>
        <v>Italië</v>
      </c>
      <c r="R26" s="7" t="s">
        <v>2189</v>
      </c>
      <c r="S26" s="327" t="str">
        <f ca="1">AJ24</f>
        <v>Albanië</v>
      </c>
      <c r="T26" s="353">
        <v>3</v>
      </c>
      <c r="U26" s="54" t="s">
        <v>2189</v>
      </c>
      <c r="V26" s="353">
        <v>0</v>
      </c>
      <c r="W26" s="60"/>
      <c r="X26" s="17"/>
      <c r="Y26" s="4" t="str">
        <f t="shared" si="3"/>
        <v>GOED</v>
      </c>
      <c r="Z26" s="4" t="str">
        <f t="shared" si="4"/>
        <v>GOED</v>
      </c>
      <c r="AA26" s="138" t="str">
        <f t="shared" si="5"/>
        <v>12|</v>
      </c>
      <c r="AB26" s="4" t="str">
        <f t="shared" si="6"/>
        <v>GOED</v>
      </c>
      <c r="AC26" s="4" t="str">
        <f t="shared" si="7"/>
        <v>GOED</v>
      </c>
      <c r="AD26" s="138" t="str">
        <f t="shared" si="8"/>
        <v>30|</v>
      </c>
      <c r="AE26" s="285">
        <f t="shared" si="9"/>
        <v>3</v>
      </c>
      <c r="AF26" s="251">
        <v>18</v>
      </c>
      <c r="AG26" s="106" t="str">
        <f t="shared" ca="1" si="0"/>
        <v>12|</v>
      </c>
      <c r="AH26" s="1116"/>
      <c r="AI26" s="1116"/>
      <c r="AJ26" s="70"/>
      <c r="AK26" s="1116" t="s">
        <v>2153</v>
      </c>
      <c r="AL26" s="1116" t="str">
        <f ca="1">AJ30</f>
        <v>Slovenië</v>
      </c>
      <c r="AM26" s="1116" t="str">
        <f ca="1">AJ31</f>
        <v>Denemarken</v>
      </c>
      <c r="AN26" s="1116" t="str">
        <f ca="1">AJ32</f>
        <v>Servië</v>
      </c>
      <c r="AO26" s="1116" t="str">
        <f ca="1">AJ33</f>
        <v>Engeland</v>
      </c>
      <c r="AP26" s="1116" t="s">
        <v>578</v>
      </c>
      <c r="AQ26" s="1116" t="s">
        <v>2154</v>
      </c>
      <c r="AR26" s="1116" t="s">
        <v>2155</v>
      </c>
      <c r="AS26" s="1116" t="str">
        <f ca="1">"Gelijk met "&amp;AH30</f>
        <v>Gelijk met C1</v>
      </c>
      <c r="AT26" s="1116" t="str">
        <f ca="1">"Gelijk met "&amp;AH31</f>
        <v>Gelijk met C2</v>
      </c>
      <c r="AU26" s="1116" t="str">
        <f ca="1">"Gelijk met "&amp;AH32</f>
        <v>Gelijk met C3</v>
      </c>
      <c r="AV26" s="1116" t="str">
        <f ca="1">"Gelijk met "&amp;AH33</f>
        <v>Gelijk met C4</v>
      </c>
      <c r="AW26" s="1116" t="s">
        <v>578</v>
      </c>
      <c r="AX26" s="1116" t="s">
        <v>2154</v>
      </c>
      <c r="AY26" s="1116" t="s">
        <v>2155</v>
      </c>
      <c r="AZ26" s="1116" t="s">
        <v>2156</v>
      </c>
      <c r="BA26" s="1116" t="s">
        <v>2157</v>
      </c>
    </row>
    <row r="27" spans="1:53" ht="15" customHeight="1" x14ac:dyDescent="0.25">
      <c r="B27" s="17"/>
      <c r="C27" s="949"/>
      <c r="D27" s="6">
        <v>14</v>
      </c>
      <c r="E27" s="11">
        <f>DATE(2024,6,19)+TIME(18,0,0)</f>
        <v>45462.75</v>
      </c>
      <c r="F27" s="134">
        <f t="shared" si="1"/>
        <v>45462.75</v>
      </c>
      <c r="G27" s="8" t="str">
        <f ca="1">AJ12</f>
        <v>Duitsland</v>
      </c>
      <c r="H27" s="7" t="s">
        <v>2189</v>
      </c>
      <c r="I27" s="327" t="str">
        <f ca="1">AJ14</f>
        <v>Hongarije</v>
      </c>
      <c r="J27" s="353">
        <v>2</v>
      </c>
      <c r="K27" s="54" t="s">
        <v>2189</v>
      </c>
      <c r="L27" s="353">
        <v>0</v>
      </c>
      <c r="M27" s="9"/>
      <c r="N27" s="6">
        <v>15</v>
      </c>
      <c r="O27" s="11">
        <f>DATE(2024,6,19)+TIME(15,0,0)</f>
        <v>45462.625</v>
      </c>
      <c r="P27" s="134">
        <f t="shared" si="2"/>
        <v>45462.625</v>
      </c>
      <c r="Q27" s="440" t="str">
        <f ca="1">AJ22</f>
        <v>Kroatië</v>
      </c>
      <c r="R27" s="441" t="s">
        <v>2189</v>
      </c>
      <c r="S27" s="442" t="str">
        <f ca="1">AJ24</f>
        <v>Albanië</v>
      </c>
      <c r="T27" s="353">
        <v>2</v>
      </c>
      <c r="U27" s="54" t="s">
        <v>2189</v>
      </c>
      <c r="V27" s="353">
        <v>0</v>
      </c>
      <c r="W27" s="60"/>
      <c r="X27" s="17"/>
      <c r="Y27" s="4" t="str">
        <f t="shared" si="3"/>
        <v>GOED</v>
      </c>
      <c r="Z27" s="4" t="str">
        <f t="shared" si="4"/>
        <v>GOED</v>
      </c>
      <c r="AA27" s="138" t="str">
        <f t="shared" si="5"/>
        <v>20|</v>
      </c>
      <c r="AB27" s="4" t="str">
        <f t="shared" si="6"/>
        <v>GOED</v>
      </c>
      <c r="AC27" s="4" t="str">
        <f t="shared" si="7"/>
        <v>GOED</v>
      </c>
      <c r="AD27" s="138" t="str">
        <f t="shared" si="8"/>
        <v>20|</v>
      </c>
      <c r="AE27" s="285">
        <f t="shared" si="9"/>
        <v>2</v>
      </c>
      <c r="AF27" s="251">
        <v>17</v>
      </c>
      <c r="AG27" s="106" t="str">
        <f t="shared" ca="1" si="0"/>
        <v>20|</v>
      </c>
      <c r="AH27" s="1116"/>
      <c r="AI27" s="1116"/>
      <c r="AJ27" s="70"/>
      <c r="AK27" s="1116"/>
      <c r="AL27" s="1116"/>
      <c r="AM27" s="1116"/>
      <c r="AN27" s="1116"/>
      <c r="AO27" s="1116"/>
      <c r="AP27" s="1116"/>
      <c r="AQ27" s="1116"/>
      <c r="AR27" s="1116"/>
      <c r="AS27" s="1116"/>
      <c r="AT27" s="1116"/>
      <c r="AU27" s="1116"/>
      <c r="AV27" s="1116"/>
      <c r="AW27" s="1116"/>
      <c r="AX27" s="1116"/>
      <c r="AY27" s="1116"/>
      <c r="AZ27" s="1116"/>
      <c r="BA27" s="1116"/>
    </row>
    <row r="28" spans="1:53" ht="15" customHeight="1" x14ac:dyDescent="0.25">
      <c r="B28" s="17"/>
      <c r="C28" s="949"/>
      <c r="D28" s="6">
        <v>13</v>
      </c>
      <c r="E28" s="11">
        <f>DATE(2024,6,19)+TIME(21,0,0)</f>
        <v>45462.875</v>
      </c>
      <c r="F28" s="134">
        <f t="shared" si="1"/>
        <v>45462.875</v>
      </c>
      <c r="G28" s="8" t="str">
        <f ca="1">AJ13</f>
        <v>Schotland</v>
      </c>
      <c r="H28" s="7" t="s">
        <v>2189</v>
      </c>
      <c r="I28" s="327" t="str">
        <f ca="1">AJ15</f>
        <v>Zwitserland</v>
      </c>
      <c r="J28" s="353">
        <v>1</v>
      </c>
      <c r="K28" s="54" t="s">
        <v>2189</v>
      </c>
      <c r="L28" s="353">
        <v>2</v>
      </c>
      <c r="M28" s="9"/>
      <c r="N28" s="6">
        <v>16</v>
      </c>
      <c r="O28" s="11">
        <f>DATE(2024,6,20)+TIME(21,0,0)</f>
        <v>45463.875</v>
      </c>
      <c r="P28" s="134">
        <f t="shared" si="2"/>
        <v>45463.875</v>
      </c>
      <c r="Q28" s="8" t="str">
        <f ca="1">AJ21</f>
        <v>Spanje</v>
      </c>
      <c r="R28" s="7" t="s">
        <v>2189</v>
      </c>
      <c r="S28" s="327" t="str">
        <f ca="1">AJ23</f>
        <v>Italië</v>
      </c>
      <c r="T28" s="353">
        <v>1</v>
      </c>
      <c r="U28" s="54" t="s">
        <v>2189</v>
      </c>
      <c r="V28" s="353">
        <v>1</v>
      </c>
      <c r="W28" s="60"/>
      <c r="X28" s="17"/>
      <c r="Y28" s="4" t="str">
        <f t="shared" si="3"/>
        <v>GOED</v>
      </c>
      <c r="Z28" s="4" t="str">
        <f t="shared" si="4"/>
        <v>GOED</v>
      </c>
      <c r="AA28" s="138" t="str">
        <f t="shared" si="5"/>
        <v>12|</v>
      </c>
      <c r="AB28" s="4" t="str">
        <f t="shared" si="6"/>
        <v>GOED</v>
      </c>
      <c r="AC28" s="4" t="str">
        <f t="shared" si="7"/>
        <v>GOED</v>
      </c>
      <c r="AD28" s="138" t="str">
        <f t="shared" si="8"/>
        <v>11|</v>
      </c>
      <c r="AE28" s="285">
        <f t="shared" si="9"/>
        <v>3</v>
      </c>
      <c r="AF28" s="251">
        <v>16</v>
      </c>
      <c r="AG28" s="106" t="str">
        <f t="shared" ca="1" si="0"/>
        <v>11|</v>
      </c>
      <c r="AH28" s="1116"/>
      <c r="AI28" s="1116"/>
      <c r="AJ28" s="161" t="str">
        <f ca="1">D33</f>
        <v>Groep C</v>
      </c>
      <c r="AK28" s="1116"/>
      <c r="AL28" s="1116"/>
      <c r="AM28" s="1116"/>
      <c r="AN28" s="1116"/>
      <c r="AO28" s="1116"/>
      <c r="AP28" s="1116"/>
      <c r="AQ28" s="1116"/>
      <c r="AR28" s="1116"/>
      <c r="AS28" s="1116"/>
      <c r="AT28" s="1116"/>
      <c r="AU28" s="1116"/>
      <c r="AV28" s="1116"/>
      <c r="AW28" s="1116"/>
      <c r="AX28" s="1116"/>
      <c r="AY28" s="1116"/>
      <c r="AZ28" s="1116"/>
      <c r="BA28" s="1116"/>
    </row>
    <row r="29" spans="1:53" ht="15" customHeight="1" x14ac:dyDescent="0.25">
      <c r="B29" s="17"/>
      <c r="C29" s="949"/>
      <c r="D29" s="6">
        <v>25</v>
      </c>
      <c r="E29" s="11">
        <f>DATE(2024,6,23)+TIME(21,0,0)</f>
        <v>45466.875</v>
      </c>
      <c r="F29" s="134">
        <f t="shared" si="1"/>
        <v>45466.875</v>
      </c>
      <c r="G29" s="8" t="str">
        <f ca="1">AJ15</f>
        <v>Zwitserland</v>
      </c>
      <c r="H29" s="7" t="s">
        <v>2189</v>
      </c>
      <c r="I29" s="327" t="str">
        <f ca="1">AJ12</f>
        <v>Duitsland</v>
      </c>
      <c r="J29" s="353">
        <v>1</v>
      </c>
      <c r="K29" s="54" t="s">
        <v>2189</v>
      </c>
      <c r="L29" s="353">
        <v>2</v>
      </c>
      <c r="M29" s="9"/>
      <c r="N29" s="6">
        <v>27</v>
      </c>
      <c r="O29" s="11">
        <f>DATE(2024,6,24)+TIME(21,0,0)</f>
        <v>45467.875</v>
      </c>
      <c r="P29" s="134">
        <f t="shared" si="2"/>
        <v>45467.875</v>
      </c>
      <c r="Q29" s="8" t="str">
        <f ca="1">AJ24</f>
        <v>Albanië</v>
      </c>
      <c r="R29" s="7" t="s">
        <v>2189</v>
      </c>
      <c r="S29" s="327" t="str">
        <f ca="1">AJ21</f>
        <v>Spanje</v>
      </c>
      <c r="T29" s="353">
        <v>0</v>
      </c>
      <c r="U29" s="54" t="s">
        <v>2189</v>
      </c>
      <c r="V29" s="353">
        <v>4</v>
      </c>
      <c r="W29" s="60"/>
      <c r="X29" s="17"/>
      <c r="Y29" s="4" t="str">
        <f t="shared" si="3"/>
        <v>GOED</v>
      </c>
      <c r="Z29" s="4" t="str">
        <f t="shared" si="4"/>
        <v>GOED</v>
      </c>
      <c r="AA29" s="138" t="str">
        <f t="shared" si="5"/>
        <v>12|</v>
      </c>
      <c r="AB29" s="4" t="str">
        <f t="shared" si="6"/>
        <v>GOED</v>
      </c>
      <c r="AC29" s="4" t="str">
        <f t="shared" si="7"/>
        <v>GOED</v>
      </c>
      <c r="AD29" s="138" t="str">
        <f t="shared" si="8"/>
        <v>04|</v>
      </c>
      <c r="AE29" s="285">
        <f t="shared" si="9"/>
        <v>4</v>
      </c>
      <c r="AF29" s="106">
        <v>21</v>
      </c>
      <c r="AG29" s="106" t="str">
        <f t="shared" ca="1" si="0"/>
        <v>01|</v>
      </c>
      <c r="AH29" s="1116"/>
      <c r="AI29" s="1116"/>
      <c r="AJ29" s="70" t="s">
        <v>2162</v>
      </c>
      <c r="AK29" s="1116"/>
      <c r="AL29" s="1116"/>
      <c r="AM29" s="1116"/>
      <c r="AN29" s="1116"/>
      <c r="AO29" s="1116"/>
      <c r="AP29" s="1116"/>
      <c r="AQ29" s="1116"/>
      <c r="AR29" s="1116"/>
      <c r="AS29" s="1116"/>
      <c r="AT29" s="1116"/>
      <c r="AU29" s="1116"/>
      <c r="AV29" s="1116"/>
      <c r="AW29" s="1116"/>
      <c r="AX29" s="1116"/>
      <c r="AY29" s="1116"/>
      <c r="AZ29" s="1116"/>
      <c r="BA29" s="1116"/>
    </row>
    <row r="30" spans="1:53" ht="15" customHeight="1" x14ac:dyDescent="0.25">
      <c r="B30" s="17"/>
      <c r="C30" s="949"/>
      <c r="D30" s="6">
        <v>26</v>
      </c>
      <c r="E30" s="11">
        <f>E29</f>
        <v>45466.875</v>
      </c>
      <c r="F30" s="134">
        <f t="shared" si="1"/>
        <v>45466.875</v>
      </c>
      <c r="G30" s="8" t="str">
        <f ca="1">AJ13</f>
        <v>Schotland</v>
      </c>
      <c r="H30" s="7" t="s">
        <v>2189</v>
      </c>
      <c r="I30" s="327" t="str">
        <f ca="1">AJ14</f>
        <v>Hongarije</v>
      </c>
      <c r="J30" s="353">
        <v>0</v>
      </c>
      <c r="K30" s="54" t="s">
        <v>2189</v>
      </c>
      <c r="L30" s="353">
        <v>1</v>
      </c>
      <c r="M30" s="9"/>
      <c r="N30" s="6">
        <v>28</v>
      </c>
      <c r="O30" s="11">
        <f>O29</f>
        <v>45467.875</v>
      </c>
      <c r="P30" s="134">
        <f t="shared" si="2"/>
        <v>45467.875</v>
      </c>
      <c r="Q30" s="8" t="str">
        <f ca="1">AJ22</f>
        <v>Kroatië</v>
      </c>
      <c r="R30" s="7" t="s">
        <v>2189</v>
      </c>
      <c r="S30" s="327" t="str">
        <f ca="1">AJ23</f>
        <v>Italië</v>
      </c>
      <c r="T30" s="353">
        <v>1</v>
      </c>
      <c r="U30" s="54" t="s">
        <v>2189</v>
      </c>
      <c r="V30" s="353">
        <v>1</v>
      </c>
      <c r="W30" s="60"/>
      <c r="X30" s="17"/>
      <c r="Y30" s="4" t="str">
        <f t="shared" si="3"/>
        <v>GOED</v>
      </c>
      <c r="Z30" s="4" t="str">
        <f t="shared" si="4"/>
        <v>GOED</v>
      </c>
      <c r="AA30" s="138" t="str">
        <f t="shared" si="5"/>
        <v>01|</v>
      </c>
      <c r="AB30" s="4" t="str">
        <f t="shared" si="6"/>
        <v>GOED</v>
      </c>
      <c r="AC30" s="4" t="str">
        <f t="shared" si="7"/>
        <v>GOED</v>
      </c>
      <c r="AD30" s="138" t="str">
        <f t="shared" si="8"/>
        <v>11|</v>
      </c>
      <c r="AE30" s="285">
        <f t="shared" si="9"/>
        <v>2</v>
      </c>
      <c r="AF30" s="106">
        <v>19</v>
      </c>
      <c r="AG30" s="106" t="str">
        <f t="shared" ca="1" si="0"/>
        <v>11|</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1</v>
      </c>
      <c r="AO30" s="206">
        <f>IF(ISNUMBER(L39),L39,0)</f>
        <v>0</v>
      </c>
      <c r="AP30" s="155">
        <f>IF(AA35&lt;&gt;"FOUT",IF(AM30&gt;AL31,3,IF(AM30=AL31,1,0)),0)+IF(AA37&lt;&gt;"FOUT",IF(AN30&gt;AL32,3,IF(AN30=AL32,1,0)),0)+IF(AA39&lt;&gt;"FOUT",IF(AO30&gt;AL33,3,IF(AO30=AL33,1,0)),0)</f>
        <v>0</v>
      </c>
      <c r="AQ30" s="158">
        <f>SUM(AL30:AO30)</f>
        <v>1</v>
      </c>
      <c r="AR30" s="157">
        <f>SUM(AL30:AL33)</f>
        <v>6</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4950103500004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02|</v>
      </c>
      <c r="AH31" s="171" t="str">
        <f ca="1">RIGHT(AJ28,1)&amp;2</f>
        <v>C2</v>
      </c>
      <c r="AI31" s="168">
        <f ca="1">$AV$85</f>
        <v>1</v>
      </c>
      <c r="AJ31" s="154" t="str">
        <f ca="1">VLOOKUP(AH31,Voorblad!$X$67:$Z$98,2,FALSE)</f>
        <v>Denemarken</v>
      </c>
      <c r="AK31" s="110" t="str">
        <f ca="1">VLOOKUP(AH31,Voorblad!$X$67:$Z$98,3,FALSE)</f>
        <v>DK</v>
      </c>
      <c r="AL31" s="207">
        <f>IF(ISNUMBER(L35),L35,0)</f>
        <v>1</v>
      </c>
      <c r="AM31" s="202">
        <v>0</v>
      </c>
      <c r="AN31" s="163">
        <f>IF(ISNUMBER(J40),J40,0)</f>
        <v>2</v>
      </c>
      <c r="AO31" s="163">
        <f>IF(ISNUMBER(L38),L38,0)</f>
        <v>0</v>
      </c>
      <c r="AP31" s="151">
        <f>IF(AA35&lt;&gt;"FOUT",IF(AL31&gt;AM30,3,IF(AL31=AM30,1,0)),0)+IF(AA40&lt;&gt;"FOUT",IF(AN31&gt;AM32,3,IF(AN31=AM32,1,0)),0)+IF(AA38&lt;&gt;"FOUT",IF(AO31&gt;AM33,3,IF(AO31=AM33,1,0)),0)</f>
        <v>6</v>
      </c>
      <c r="AQ31" s="153">
        <f>SUM(AL31:AO31)</f>
        <v>3</v>
      </c>
      <c r="AR31" s="152">
        <f>SUM(AM30:AM33)</f>
        <v>3</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65000303500001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02|</v>
      </c>
      <c r="AH32" s="171" t="str">
        <f ca="1">RIGHT(AJ28,1)&amp;3</f>
        <v>C3</v>
      </c>
      <c r="AI32" s="168">
        <f ca="1">$AW$85</f>
        <v>3</v>
      </c>
      <c r="AJ32" s="154" t="str">
        <f ca="1">VLOOKUP(AH32,Voorblad!$X$67:$Z$98,2,FALSE)</f>
        <v>Servië</v>
      </c>
      <c r="AK32" s="110" t="str">
        <f ca="1">VLOOKUP(AH32,Voorblad!$X$67:$Z$98,3,FALSE)</f>
        <v>RS</v>
      </c>
      <c r="AL32" s="207">
        <f>IF(ISNUMBER(L37),L37,0)</f>
        <v>2</v>
      </c>
      <c r="AM32" s="163">
        <f>IF(ISNUMBER(L40),L40,0)</f>
        <v>1</v>
      </c>
      <c r="AN32" s="202">
        <v>0</v>
      </c>
      <c r="AO32" s="163">
        <f>IF(ISNUMBER(J36),J36,0)</f>
        <v>0</v>
      </c>
      <c r="AP32" s="151">
        <f>IF(AA37&lt;&gt;"FOUT",IF(AL32&gt;AN30,3,IF(AL32=AN30,1,0)),0)+IF(AA40&lt;&gt;"FOUT",IF(AM32&gt;AN31,3,IF(AM32=AN31,1,0)),0)+IF(AA36&lt;&gt;"FOUT",IF(AO32&gt;AN33,3,IF(AO32=AN33,1,0)),0)</f>
        <v>3</v>
      </c>
      <c r="AQ32" s="153">
        <f>SUM(AL32:AO32)</f>
        <v>3</v>
      </c>
      <c r="AR32" s="152">
        <f>SUM(AN30:AN33)</f>
        <v>5</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34980303500003</v>
      </c>
      <c r="BA32" s="215">
        <f ca="1">RANK(AZ32,AZ30:AZ33)</f>
        <v>3</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17" t="str">
        <f ca="1">"Controle "&amp;D33</f>
        <v>Controle Groep C</v>
      </c>
      <c r="Z33" s="1117"/>
      <c r="AA33" s="1117"/>
      <c r="AB33" s="1117" t="str">
        <f ca="1">"Controle "&amp;N33</f>
        <v>Controle Groep D</v>
      </c>
      <c r="AC33" s="1117"/>
      <c r="AD33" s="1117"/>
      <c r="AE33" s="849"/>
      <c r="AF33" s="251">
        <v>23</v>
      </c>
      <c r="AG33" s="106" t="str">
        <f t="shared" ca="1" si="0"/>
        <v>14|</v>
      </c>
      <c r="AH33" s="171" t="str">
        <f ca="1">RIGHT(AJ28,1)&amp;4</f>
        <v>C4</v>
      </c>
      <c r="AI33" s="168">
        <f ca="1">$AX$85</f>
        <v>2</v>
      </c>
      <c r="AJ33" s="150" t="str">
        <f ca="1">VLOOKUP(AH33,Voorblad!$X$67:$Z$98,2,FALSE)</f>
        <v>Engeland</v>
      </c>
      <c r="AK33" s="149" t="str">
        <f ca="1">VLOOKUP(AH33,Voorblad!$X$67:$Z$98,3,FALSE)</f>
        <v>GB</v>
      </c>
      <c r="AL33" s="208">
        <f>IF(ISNUMBER(J39),J39,0)</f>
        <v>3</v>
      </c>
      <c r="AM33" s="209">
        <f>IF(ISNUMBER(J38),J38,0)</f>
        <v>2</v>
      </c>
      <c r="AN33" s="209">
        <f>IF(ISNUMBER(L36),L36,0)</f>
        <v>2</v>
      </c>
      <c r="AO33" s="210">
        <v>0</v>
      </c>
      <c r="AP33" s="428">
        <f>IF(AA39&lt;&gt;"FOUT",IF(AL33&gt;AO30,3,IF(AL33=AO30,1,0)),0)+IF(AA38&lt;&gt;"FOUT",IF(AM33&gt;AO31,3,IF(AM33=AO31,1,0)),0)+IF(AA36&lt;&gt;"FOUT",IF(AN33&gt;AO32,3,IF(AN33=AO32,1,0)),0)</f>
        <v>9</v>
      </c>
      <c r="AQ33" s="148">
        <f>SUM(AL33:AO33)</f>
        <v>7</v>
      </c>
      <c r="AR33" s="147">
        <f>SUM(AO30:AO33)</f>
        <v>0</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95070703500002</v>
      </c>
      <c r="BA33" s="216">
        <f ca="1">RANK(AZ33,AZ30:AZ33)</f>
        <v>1</v>
      </c>
    </row>
    <row r="34" spans="2:53" ht="15" customHeight="1" x14ac:dyDescent="0.25">
      <c r="B34" s="17"/>
      <c r="C34" s="949"/>
      <c r="D34" s="107"/>
      <c r="E34" s="939" t="str">
        <f ca="1">Taal04!$B$20</f>
        <v>Datum</v>
      </c>
      <c r="F34" s="939" t="str">
        <f ca="1">Taal04!$B$21</f>
        <v>Tijd</v>
      </c>
      <c r="G34" s="1142" t="str">
        <f ca="1">Taal04!$B$22</f>
        <v>Wedstrijd</v>
      </c>
      <c r="H34" s="1142"/>
      <c r="I34" s="1142"/>
      <c r="J34" s="1142" t="str">
        <f ca="1">Taal04!$B$24</f>
        <v>Eindstand</v>
      </c>
      <c r="K34" s="1143"/>
      <c r="L34" s="1143"/>
      <c r="M34" s="17"/>
      <c r="N34" s="107"/>
      <c r="O34" s="939" t="str">
        <f ca="1">Taal04!$B$20</f>
        <v>Datum</v>
      </c>
      <c r="P34" s="939" t="str">
        <f ca="1">Taal04!$B$21</f>
        <v>Tijd</v>
      </c>
      <c r="Q34" s="1142" t="str">
        <f ca="1">Taal04!$B$22</f>
        <v>Wedstrijd</v>
      </c>
      <c r="R34" s="1142"/>
      <c r="S34" s="1142"/>
      <c r="T34" s="1142" t="str">
        <f ca="1">Taal04!$B$24</f>
        <v>Eindstand</v>
      </c>
      <c r="U34" s="1143"/>
      <c r="V34" s="1143"/>
      <c r="W34" s="60"/>
      <c r="X34" s="17"/>
      <c r="Y34" s="4" t="s">
        <v>2187</v>
      </c>
      <c r="Z34" s="4" t="s">
        <v>2188</v>
      </c>
      <c r="AA34" s="138" t="s">
        <v>2142</v>
      </c>
      <c r="AB34" s="4" t="s">
        <v>2187</v>
      </c>
      <c r="AC34" s="4" t="s">
        <v>2188</v>
      </c>
      <c r="AD34" s="138" t="s">
        <v>2142</v>
      </c>
      <c r="AE34" s="849"/>
      <c r="AF34" s="251">
        <v>22</v>
      </c>
      <c r="AG34" s="106" t="str">
        <f t="shared" ca="1" si="0"/>
        <v>20|</v>
      </c>
      <c r="AH34" s="70"/>
      <c r="AI34" s="70"/>
      <c r="AJ34" s="70" t="s">
        <v>2170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2189</v>
      </c>
      <c r="I35" s="442" t="str">
        <f ca="1">AJ31</f>
        <v>Denemarken</v>
      </c>
      <c r="J35" s="353">
        <v>0</v>
      </c>
      <c r="K35" s="54" t="s">
        <v>2189</v>
      </c>
      <c r="L35" s="353">
        <v>1</v>
      </c>
      <c r="M35" s="9"/>
      <c r="N35" s="6" t="str">
        <f>"07"</f>
        <v>07</v>
      </c>
      <c r="O35" s="11">
        <f>DATE(2024,6,16)+TIME(15,0,0)</f>
        <v>45459.625</v>
      </c>
      <c r="P35" s="134">
        <f t="shared" ref="P35:P40" si="11">O35+TIME(0,0,0)</f>
        <v>45459.625</v>
      </c>
      <c r="Q35" s="440" t="str">
        <f ca="1">AJ39</f>
        <v>Polen</v>
      </c>
      <c r="R35" s="441" t="s">
        <v>2189</v>
      </c>
      <c r="S35" s="442" t="str">
        <f ca="1">AJ40</f>
        <v>Nederland</v>
      </c>
      <c r="T35" s="353">
        <v>1</v>
      </c>
      <c r="U35" s="54" t="s">
        <v>2189</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01|</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12|</v>
      </c>
      <c r="AE35" s="285">
        <f t="shared" ref="AE35:AE40" si="15">IF(AND(Y35="GOED",Z35="GOED",AB35="GOED",AB35="GOED"),IF(J35+L35&gt;T35+V35,J35+L35,T35+V35),IF(AND(Y35="GOED",Z35="GOED"),J35+L35,IF(AND(AB35="GOED",AB35="GOED"),T35+V35,0)))</f>
        <v>3</v>
      </c>
      <c r="AF35" s="251">
        <v>25</v>
      </c>
      <c r="AG35" s="106" t="str">
        <f t="shared" si="0"/>
        <v>12|</v>
      </c>
      <c r="AH35" s="1116"/>
      <c r="AI35" s="1116"/>
      <c r="AJ35" s="70"/>
      <c r="AK35" s="1116" t="s">
        <v>2153</v>
      </c>
      <c r="AL35" s="1116" t="str">
        <f ca="1">AJ39</f>
        <v>Polen</v>
      </c>
      <c r="AM35" s="1116" t="str">
        <f ca="1">AJ40</f>
        <v>Nederland</v>
      </c>
      <c r="AN35" s="1116" t="str">
        <f ca="1">AJ41</f>
        <v>Oostenrijk</v>
      </c>
      <c r="AO35" s="1116" t="str">
        <f ca="1">AJ42</f>
        <v>Frankrijk</v>
      </c>
      <c r="AP35" s="1116" t="s">
        <v>578</v>
      </c>
      <c r="AQ35" s="1116" t="s">
        <v>2154</v>
      </c>
      <c r="AR35" s="1116" t="s">
        <v>2155</v>
      </c>
      <c r="AS35" s="1116" t="str">
        <f ca="1">"Gelijk met "&amp;AH39</f>
        <v>Gelijk met D1</v>
      </c>
      <c r="AT35" s="1116" t="str">
        <f ca="1">"Gelijk met "&amp;AH40</f>
        <v>Gelijk met D2</v>
      </c>
      <c r="AU35" s="1116" t="str">
        <f ca="1">"Gelijk met "&amp;AH41</f>
        <v>Gelijk met D3</v>
      </c>
      <c r="AV35" s="1116" t="str">
        <f ca="1">"Gelijk met "&amp;AH42</f>
        <v>Gelijk met D4</v>
      </c>
      <c r="AW35" s="1116" t="s">
        <v>578</v>
      </c>
      <c r="AX35" s="1116" t="s">
        <v>2154</v>
      </c>
      <c r="AY35" s="1116" t="s">
        <v>2155</v>
      </c>
      <c r="AZ35" s="1116" t="s">
        <v>2156</v>
      </c>
      <c r="BA35" s="1116" t="s">
        <v>2157</v>
      </c>
    </row>
    <row r="36" spans="2:53" ht="15" customHeight="1" x14ac:dyDescent="0.25">
      <c r="B36" s="17"/>
      <c r="C36" s="949"/>
      <c r="D36" s="6" t="str">
        <f>"05"</f>
        <v>05</v>
      </c>
      <c r="E36" s="11">
        <f>DATE(2024,6,16)+TIME(21,0,0)</f>
        <v>45459.875</v>
      </c>
      <c r="F36" s="134">
        <f t="shared" si="10"/>
        <v>45459.875</v>
      </c>
      <c r="G36" s="440" t="str">
        <f ca="1">AJ32</f>
        <v>Servië</v>
      </c>
      <c r="H36" s="441" t="s">
        <v>2189</v>
      </c>
      <c r="I36" s="442" t="str">
        <f ca="1">AJ33</f>
        <v>Engeland</v>
      </c>
      <c r="J36" s="353">
        <v>0</v>
      </c>
      <c r="K36" s="54" t="s">
        <v>2189</v>
      </c>
      <c r="L36" s="353">
        <v>2</v>
      </c>
      <c r="M36" s="9"/>
      <c r="N36" s="438" t="str">
        <f>"08"</f>
        <v>08</v>
      </c>
      <c r="O36" s="436">
        <f>DATE(2024,6,17)+TIME(21,0,0)</f>
        <v>45460.875</v>
      </c>
      <c r="P36" s="437">
        <f t="shared" si="11"/>
        <v>45460.875</v>
      </c>
      <c r="Q36" s="440" t="str">
        <f ca="1">AJ41</f>
        <v>Oostenrijk</v>
      </c>
      <c r="R36" s="441" t="s">
        <v>2189</v>
      </c>
      <c r="S36" s="442" t="str">
        <f ca="1">AJ42</f>
        <v>Frankrijk</v>
      </c>
      <c r="T36" s="353">
        <v>0</v>
      </c>
      <c r="U36" s="54" t="s">
        <v>2189</v>
      </c>
      <c r="V36" s="353">
        <v>3</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02|</v>
      </c>
      <c r="AB36" s="4" t="str">
        <f t="shared" si="12"/>
        <v>GOED</v>
      </c>
      <c r="AC36" s="4" t="str">
        <f t="shared" si="13"/>
        <v>GOED</v>
      </c>
      <c r="AD36" s="138" t="str">
        <f t="shared" si="14"/>
        <v>03|</v>
      </c>
      <c r="AE36" s="285">
        <f t="shared" si="15"/>
        <v>3</v>
      </c>
      <c r="AF36" s="251">
        <v>26</v>
      </c>
      <c r="AG36" s="106" t="str">
        <f t="shared" si="0"/>
        <v>01|</v>
      </c>
      <c r="AH36" s="1116"/>
      <c r="AI36" s="1116"/>
      <c r="AJ36" s="70"/>
      <c r="AK36" s="1116"/>
      <c r="AL36" s="1116"/>
      <c r="AM36" s="1116"/>
      <c r="AN36" s="1116"/>
      <c r="AO36" s="1116"/>
      <c r="AP36" s="1116"/>
      <c r="AQ36" s="1116"/>
      <c r="AR36" s="1116"/>
      <c r="AS36" s="1116"/>
      <c r="AT36" s="1116"/>
      <c r="AU36" s="1116"/>
      <c r="AV36" s="1116"/>
      <c r="AW36" s="1116"/>
      <c r="AX36" s="1116"/>
      <c r="AY36" s="1116"/>
      <c r="AZ36" s="1116"/>
      <c r="BA36" s="1116"/>
    </row>
    <row r="37" spans="2:53" ht="15" customHeight="1" x14ac:dyDescent="0.25">
      <c r="B37" s="17"/>
      <c r="C37" s="949"/>
      <c r="D37" s="6">
        <v>18</v>
      </c>
      <c r="E37" s="11">
        <f>DATE(2024,6,20)+TIME(15,0,0)</f>
        <v>45463.625</v>
      </c>
      <c r="F37" s="134">
        <f>E37+TIME(0,0,0)</f>
        <v>45463.625</v>
      </c>
      <c r="G37" s="8" t="str">
        <f ca="1">AJ30</f>
        <v>Slovenië</v>
      </c>
      <c r="H37" s="7" t="s">
        <v>2189</v>
      </c>
      <c r="I37" s="327" t="str">
        <f ca="1">AJ32</f>
        <v>Servië</v>
      </c>
      <c r="J37" s="353">
        <v>1</v>
      </c>
      <c r="K37" s="54" t="s">
        <v>2189</v>
      </c>
      <c r="L37" s="353">
        <v>2</v>
      </c>
      <c r="M37" s="9"/>
      <c r="N37" s="6">
        <v>19</v>
      </c>
      <c r="O37" s="11">
        <f>DATE(2024,6,21)+TIME(18,0,0)</f>
        <v>45464.75</v>
      </c>
      <c r="P37" s="134">
        <f t="shared" si="11"/>
        <v>45464.75</v>
      </c>
      <c r="Q37" s="440" t="str">
        <f ca="1">AJ39</f>
        <v>Polen</v>
      </c>
      <c r="R37" s="441" t="s">
        <v>2189</v>
      </c>
      <c r="S37" s="442" t="str">
        <f ca="1">AJ41</f>
        <v>Oostenrijk</v>
      </c>
      <c r="T37" s="353">
        <v>1</v>
      </c>
      <c r="U37" s="54" t="s">
        <v>2189</v>
      </c>
      <c r="V37" s="353">
        <v>1</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12|</v>
      </c>
      <c r="AB37" s="4" t="str">
        <f t="shared" si="12"/>
        <v>GOED</v>
      </c>
      <c r="AC37" s="4" t="str">
        <f t="shared" si="13"/>
        <v>GOED</v>
      </c>
      <c r="AD37" s="138" t="str">
        <f t="shared" si="14"/>
        <v>11|</v>
      </c>
      <c r="AE37" s="285">
        <f t="shared" si="15"/>
        <v>3</v>
      </c>
      <c r="AF37" s="251">
        <v>27</v>
      </c>
      <c r="AG37" s="106" t="str">
        <f t="shared" ca="1" si="0"/>
        <v>04|</v>
      </c>
      <c r="AH37" s="1116"/>
      <c r="AI37" s="1116"/>
      <c r="AJ37" s="161" t="str">
        <f ca="1">N33</f>
        <v>Groep D</v>
      </c>
      <c r="AK37" s="1116"/>
      <c r="AL37" s="1116"/>
      <c r="AM37" s="1116"/>
      <c r="AN37" s="1116"/>
      <c r="AO37" s="1116"/>
      <c r="AP37" s="1116"/>
      <c r="AQ37" s="1116"/>
      <c r="AR37" s="1116"/>
      <c r="AS37" s="1116"/>
      <c r="AT37" s="1116"/>
      <c r="AU37" s="1116"/>
      <c r="AV37" s="1116"/>
      <c r="AW37" s="1116"/>
      <c r="AX37" s="1116"/>
      <c r="AY37" s="1116"/>
      <c r="AZ37" s="1116"/>
      <c r="BA37" s="1116"/>
    </row>
    <row r="38" spans="2:53" ht="15" customHeight="1" x14ac:dyDescent="0.25">
      <c r="B38" s="17"/>
      <c r="C38" s="949"/>
      <c r="D38" s="6">
        <v>17</v>
      </c>
      <c r="E38" s="11">
        <f>DATE(2024,6,20)+TIME(18,0,0)</f>
        <v>45463.75</v>
      </c>
      <c r="F38" s="134">
        <f>E38+TIME(0,0,0)</f>
        <v>45463.75</v>
      </c>
      <c r="G38" s="8" t="str">
        <f ca="1">AJ33</f>
        <v>Engeland</v>
      </c>
      <c r="H38" s="7" t="s">
        <v>2189</v>
      </c>
      <c r="I38" s="327" t="str">
        <f ca="1">AJ31</f>
        <v>Denemarken</v>
      </c>
      <c r="J38" s="353">
        <v>2</v>
      </c>
      <c r="K38" s="54" t="s">
        <v>2189</v>
      </c>
      <c r="L38" s="353">
        <v>0</v>
      </c>
      <c r="M38" s="9"/>
      <c r="N38" s="6">
        <v>20</v>
      </c>
      <c r="O38" s="11">
        <f>DATE(2024,6,21)+TIME(21,0,0)</f>
        <v>45464.875</v>
      </c>
      <c r="P38" s="134">
        <f t="shared" si="11"/>
        <v>45464.875</v>
      </c>
      <c r="Q38" s="8" t="str">
        <f ca="1">AJ40</f>
        <v>Nederland</v>
      </c>
      <c r="R38" s="7" t="s">
        <v>2189</v>
      </c>
      <c r="S38" s="327" t="str">
        <f ca="1">AJ42</f>
        <v>Frankrijk</v>
      </c>
      <c r="T38" s="353">
        <v>0</v>
      </c>
      <c r="U38" s="54" t="s">
        <v>2189</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20|</v>
      </c>
      <c r="AB38" s="4" t="str">
        <f t="shared" si="12"/>
        <v>GOED</v>
      </c>
      <c r="AC38" s="4" t="str">
        <f t="shared" si="13"/>
        <v>GOED</v>
      </c>
      <c r="AD38" s="138" t="str">
        <f t="shared" si="14"/>
        <v>02|</v>
      </c>
      <c r="AE38" s="285">
        <f t="shared" si="15"/>
        <v>2</v>
      </c>
      <c r="AF38" s="251">
        <v>28</v>
      </c>
      <c r="AG38" s="106" t="str">
        <f t="shared" ca="1" si="0"/>
        <v>11|</v>
      </c>
      <c r="AH38" s="1116"/>
      <c r="AI38" s="1116"/>
      <c r="AJ38" s="70" t="s">
        <v>2162</v>
      </c>
      <c r="AK38" s="1144"/>
      <c r="AL38" s="1144"/>
      <c r="AM38" s="1144"/>
      <c r="AN38" s="1144"/>
      <c r="AO38" s="1144"/>
      <c r="AP38" s="1144"/>
      <c r="AQ38" s="1144"/>
      <c r="AR38" s="1144"/>
      <c r="AS38" s="1116"/>
      <c r="AT38" s="1116"/>
      <c r="AU38" s="1116"/>
      <c r="AV38" s="1116"/>
      <c r="AW38" s="1116"/>
      <c r="AX38" s="1116"/>
      <c r="AY38" s="1116"/>
      <c r="AZ38" s="1116"/>
      <c r="BA38" s="1116"/>
    </row>
    <row r="39" spans="2:53" ht="15" customHeight="1" x14ac:dyDescent="0.25">
      <c r="B39" s="17"/>
      <c r="C39" s="949"/>
      <c r="D39" s="6">
        <v>29</v>
      </c>
      <c r="E39" s="436">
        <f>DATE(2024,6,25)+TIME(21,0,0)</f>
        <v>45468.875</v>
      </c>
      <c r="F39" s="134">
        <f t="shared" si="10"/>
        <v>45468.875</v>
      </c>
      <c r="G39" s="8" t="str">
        <f ca="1">AJ33</f>
        <v>Engeland</v>
      </c>
      <c r="H39" s="7" t="s">
        <v>2189</v>
      </c>
      <c r="I39" s="327" t="str">
        <f ca="1">AJ30</f>
        <v>Slovenië</v>
      </c>
      <c r="J39" s="353">
        <v>3</v>
      </c>
      <c r="K39" s="54" t="s">
        <v>2189</v>
      </c>
      <c r="L39" s="353">
        <v>0</v>
      </c>
      <c r="M39" s="9"/>
      <c r="N39" s="6">
        <v>31</v>
      </c>
      <c r="O39" s="436">
        <f>DATE(2024,6,25)+TIME(18,0,0)</f>
        <v>45468.75</v>
      </c>
      <c r="P39" s="134">
        <f t="shared" si="11"/>
        <v>45468.75</v>
      </c>
      <c r="Q39" s="8" t="str">
        <f ca="1">AJ40</f>
        <v>Nederland</v>
      </c>
      <c r="R39" s="7" t="s">
        <v>2189</v>
      </c>
      <c r="S39" s="327" t="str">
        <f ca="1">AJ41</f>
        <v>Oostenrijk</v>
      </c>
      <c r="T39" s="353">
        <v>2</v>
      </c>
      <c r="U39" s="54" t="s">
        <v>2189</v>
      </c>
      <c r="V39" s="353">
        <v>1</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30|</v>
      </c>
      <c r="AB39" s="4" t="str">
        <f t="shared" si="12"/>
        <v>GOED</v>
      </c>
      <c r="AC39" s="4" t="str">
        <f t="shared" si="13"/>
        <v>GOED</v>
      </c>
      <c r="AD39" s="138" t="str">
        <f t="shared" si="14"/>
        <v>21|</v>
      </c>
      <c r="AE39" s="285">
        <f t="shared" si="15"/>
        <v>3</v>
      </c>
      <c r="AF39" s="251">
        <v>31</v>
      </c>
      <c r="AG39" s="106" t="str">
        <f t="shared" ca="1" si="0"/>
        <v>21|</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1</v>
      </c>
      <c r="AO39" s="206">
        <f>IF(ISNUMBER(V40),V40,0)</f>
        <v>0</v>
      </c>
      <c r="AP39" s="155">
        <f>IF(AD35&lt;&gt;"FOUT",IF(AM39&gt;AL40,3,IF(AM39=AL40,1,0)),0)+IF(AD37&lt;&gt;"FOUT",IF(AN39&gt;AL41,3,IF(AN39=AL41,1,0)),0)+IF(AD40&lt;&gt;"FOUT",IF(AO39&gt;AL42,3,IF(AO39=AL42,1,0)),0)</f>
        <v>1</v>
      </c>
      <c r="AQ39" s="158">
        <f>SUM(AL39:AO39)</f>
        <v>2</v>
      </c>
      <c r="AR39" s="157">
        <f>SUM(AL39:AL42)</f>
        <v>7</v>
      </c>
      <c r="AS39" s="203">
        <v>0</v>
      </c>
      <c r="AT39" s="156">
        <f>IF($AP39=$AP40,AM39,0)</f>
        <v>0</v>
      </c>
      <c r="AU39" s="156">
        <f>IF($AP39=$AP41,AN39,0)</f>
        <v>1</v>
      </c>
      <c r="AV39" s="199">
        <f>IF($AP39=$AP42,AO39,0)</f>
        <v>0</v>
      </c>
      <c r="AW39" s="155">
        <f>IF(AT39&gt;AS40,3,IF(AT39=AS40,1,0))+IF(AU39&gt;AS41,3,IF(AU39=AS41,1,0))+IF(AV39&gt;AS42,3,IF(AV39=AS42,1,0))</f>
        <v>3</v>
      </c>
      <c r="AX39" s="158">
        <f>SUM(AS39:AV39)</f>
        <v>1</v>
      </c>
      <c r="AY39" s="157">
        <f>SUM(AS39:AS42)</f>
        <v>1</v>
      </c>
      <c r="AZ39" s="211">
        <f ca="1">AP39*10000000000000+(500+AQ39-AR39)*10000000000+AQ39*100000000+AW39*1000000+(500+AX39-AY39)*1000+AX39*10+AI39</f>
        <v>14950203500014</v>
      </c>
      <c r="BA39" s="214">
        <f ca="1">RANK(AZ39,AZ39:AZ42)</f>
        <v>4</v>
      </c>
    </row>
    <row r="40" spans="2:53" ht="15" customHeight="1" x14ac:dyDescent="0.25">
      <c r="B40" s="17"/>
      <c r="C40" s="949"/>
      <c r="D40" s="6">
        <v>30</v>
      </c>
      <c r="E40" s="436">
        <f>E39</f>
        <v>45468.875</v>
      </c>
      <c r="F40" s="134">
        <f t="shared" si="10"/>
        <v>45468.875</v>
      </c>
      <c r="G40" s="8" t="str">
        <f ca="1">AJ31</f>
        <v>Denemarken</v>
      </c>
      <c r="H40" s="7" t="s">
        <v>2189</v>
      </c>
      <c r="I40" s="327" t="str">
        <f ca="1">AJ32</f>
        <v>Servië</v>
      </c>
      <c r="J40" s="353">
        <v>2</v>
      </c>
      <c r="K40" s="54" t="s">
        <v>2189</v>
      </c>
      <c r="L40" s="353">
        <v>1</v>
      </c>
      <c r="M40" s="9"/>
      <c r="N40" s="6">
        <v>32</v>
      </c>
      <c r="O40" s="436">
        <f>O39</f>
        <v>45468.75</v>
      </c>
      <c r="P40" s="134">
        <f t="shared" si="11"/>
        <v>45468.75</v>
      </c>
      <c r="Q40" s="8" t="str">
        <f ca="1">AJ42</f>
        <v>Frankrijk</v>
      </c>
      <c r="R40" s="7" t="s">
        <v>2189</v>
      </c>
      <c r="S40" s="327" t="str">
        <f ca="1">AJ39</f>
        <v>Polen</v>
      </c>
      <c r="T40" s="353">
        <v>4</v>
      </c>
      <c r="U40" s="54" t="s">
        <v>2189</v>
      </c>
      <c r="V40" s="353">
        <v>0</v>
      </c>
      <c r="W40" s="60"/>
      <c r="X40" s="17"/>
      <c r="Y40" s="4" t="str">
        <f t="shared" si="16"/>
        <v>GOED</v>
      </c>
      <c r="Z40" s="4" t="str">
        <f t="shared" si="17"/>
        <v>GOED</v>
      </c>
      <c r="AA40" s="138" t="str">
        <f t="shared" si="18"/>
        <v>21|</v>
      </c>
      <c r="AB40" s="4" t="str">
        <f t="shared" si="12"/>
        <v>GOED</v>
      </c>
      <c r="AC40" s="4" t="str">
        <f t="shared" si="13"/>
        <v>GOED</v>
      </c>
      <c r="AD40" s="138" t="str">
        <f t="shared" si="14"/>
        <v>40|</v>
      </c>
      <c r="AE40" s="285">
        <f t="shared" si="15"/>
        <v>4</v>
      </c>
      <c r="AF40" s="106">
        <v>32</v>
      </c>
      <c r="AG40" s="106" t="str">
        <f t="shared" ca="1" si="0"/>
        <v>40|</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2</v>
      </c>
      <c r="AO40" s="163">
        <f>IF(ISNUMBER(T38),T38,0)</f>
        <v>0</v>
      </c>
      <c r="AP40" s="151">
        <f>IF(AD35&lt;&gt;"FOUT",IF(AL40&gt;AM39,3,IF(AL40=AM39,1,0)),0)+IF(AD39&lt;&gt;"FOUT",IF(AN40&gt;AM41,3,IF(AN40=AM41,1,0)),0)+IF(AD38&lt;&gt;"FOUT",IF(AO40&gt;AM42,3,IF(AO40=AM42,1,0)),0)</f>
        <v>6</v>
      </c>
      <c r="AQ40" s="153">
        <f>SUM(AL40:AO40)</f>
        <v>4</v>
      </c>
      <c r="AR40" s="152">
        <f>SUM(AM39:AM42)</f>
        <v>4</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65000403500002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30|</v>
      </c>
      <c r="AH41" s="171" t="str">
        <f ca="1">RIGHT(AJ37,1)&amp;3</f>
        <v>D3</v>
      </c>
      <c r="AI41" s="168">
        <f ca="1">$AW$86</f>
        <v>3</v>
      </c>
      <c r="AJ41" s="154" t="str">
        <f ca="1">VLOOKUP(AH41,Voorblad!$X$67:$Z$98,2,FALSE)</f>
        <v>Oostenrijk</v>
      </c>
      <c r="AK41" s="110" t="str">
        <f ca="1">VLOOKUP(AH41,Voorblad!$X$67:$Z$98,3,FALSE)</f>
        <v>AT</v>
      </c>
      <c r="AL41" s="207">
        <f>IF(ISNUMBER(V37),V37,0)</f>
        <v>1</v>
      </c>
      <c r="AM41" s="163">
        <f>IF(ISNUMBER(V39),V39,0)</f>
        <v>1</v>
      </c>
      <c r="AN41" s="202">
        <v>0</v>
      </c>
      <c r="AO41" s="163">
        <f>IF(ISNUMBER(T36),T36,0)</f>
        <v>0</v>
      </c>
      <c r="AP41" s="151">
        <f>IF(AD37&lt;&gt;"FOUT",IF(AL41&gt;AN39,3,IF(AL41=AN39,1,0)),0)+IF(AD39&lt;&gt;"FOUT",IF(AM41&gt;AN40,3,IF(AM41=AN40,1,0)),0)+IF(AD36&lt;&gt;"FOUT",IF(AO41&gt;AN42,3,IF(AO41=AN42,1,0)),0)</f>
        <v>1</v>
      </c>
      <c r="AQ41" s="153">
        <f>SUM(AL41:AO41)</f>
        <v>2</v>
      </c>
      <c r="AR41" s="152">
        <f>SUM(AN39:AN42)</f>
        <v>6</v>
      </c>
      <c r="AS41" s="110">
        <f>IF($AP41=$AP39,AL41,0)</f>
        <v>1</v>
      </c>
      <c r="AT41" s="69">
        <f>IF($AP41=$AP40,AM41,0)</f>
        <v>0</v>
      </c>
      <c r="AU41" s="202">
        <v>0</v>
      </c>
      <c r="AV41" s="200">
        <f>IF($AP41=$AP42,AO41,0)</f>
        <v>0</v>
      </c>
      <c r="AW41" s="151">
        <f>IF(AS41&gt;AU39,3,IF(AS41=AU39,1,0))+IF(AT41&gt;AU40,3,IF(AT41=AU40,1,0))+IF(AV41&gt;AU42,3,IF(AV41=AU42,1,0))</f>
        <v>3</v>
      </c>
      <c r="AX41" s="153">
        <f>SUM(AS41:AV41)</f>
        <v>1</v>
      </c>
      <c r="AY41" s="152">
        <f>SUM(AU39:AU42)</f>
        <v>1</v>
      </c>
      <c r="AZ41" s="212">
        <f ca="1">AP41*10000000000000+(500+AQ41-AR41)*10000000000+AQ41*100000000+AW41*1000000+(500+AX41-AY41)*1000+AX41*10+AI41</f>
        <v>14960203500013</v>
      </c>
      <c r="BA41" s="215">
        <f ca="1">RANK(AZ41,AZ39:AZ42)</f>
        <v>3</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21|</v>
      </c>
      <c r="AH42" s="171" t="str">
        <f ca="1">RIGHT(AJ37,1)&amp;4</f>
        <v>D4</v>
      </c>
      <c r="AI42" s="168">
        <f ca="1">$AX$86</f>
        <v>1</v>
      </c>
      <c r="AJ42" s="150" t="str">
        <f ca="1">VLOOKUP(AH42,Voorblad!$X$67:$Z$98,2,FALSE)</f>
        <v>Frankrijk</v>
      </c>
      <c r="AK42" s="149" t="str">
        <f ca="1">VLOOKUP(AH42,Voorblad!$X$67:$Z$98,3,FALSE)</f>
        <v>FR</v>
      </c>
      <c r="AL42" s="208">
        <f>IF(ISNUMBER(T40),T40,0)</f>
        <v>4</v>
      </c>
      <c r="AM42" s="209">
        <f>IF(ISNUMBER(V38),V38,0)</f>
        <v>2</v>
      </c>
      <c r="AN42" s="209">
        <f>IF(ISNUMBER(V36),V36,0)</f>
        <v>3</v>
      </c>
      <c r="AO42" s="210">
        <v>0</v>
      </c>
      <c r="AP42" s="428">
        <f>IF(AD40&lt;&gt;"FOUT",IF(AL42&gt;AO39,3,IF(AL42=AO39,1,0)),0)+IF(AD38&lt;&gt;"FOUT",IF(AM42&gt;AO40,3,IF(AM42=AO40,1,0)),0)+IF(AD36&lt;&gt;"FOUT",IF(AN42&gt;AO41,3,IF(AN42=AO41,1,0)),0)</f>
        <v>9</v>
      </c>
      <c r="AQ42" s="148">
        <f>SUM(AL42:AO42)</f>
        <v>9</v>
      </c>
      <c r="AR42" s="147">
        <f>SUM(AO39:AO42)</f>
        <v>0</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95090903500001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17" t="str">
        <f ca="1">"Controle "&amp;D43</f>
        <v>Controle Groep E</v>
      </c>
      <c r="Z43" s="1117"/>
      <c r="AA43" s="1117"/>
      <c r="AB43" s="1117" t="str">
        <f ca="1">"Controle "&amp;N43</f>
        <v>Controle Groep F</v>
      </c>
      <c r="AC43" s="1117"/>
      <c r="AD43" s="1117"/>
      <c r="AE43" s="849"/>
      <c r="AF43" s="251">
        <v>33</v>
      </c>
      <c r="AG43" s="106" t="str">
        <f t="shared" ca="1" si="0"/>
        <v>21|</v>
      </c>
      <c r="AH43" s="1116"/>
      <c r="AI43" s="1116"/>
      <c r="AJ43" s="70" t="s">
        <v>2170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42" t="str">
        <f ca="1">Taal04!$B$22</f>
        <v>Wedstrijd</v>
      </c>
      <c r="H44" s="1142"/>
      <c r="I44" s="1142"/>
      <c r="J44" s="1142" t="str">
        <f ca="1">Taal04!$B$24</f>
        <v>Eindstand</v>
      </c>
      <c r="K44" s="1143"/>
      <c r="L44" s="1143"/>
      <c r="M44" s="17"/>
      <c r="N44" s="107"/>
      <c r="O44" s="939" t="str">
        <f ca="1">Taal04!$B$20</f>
        <v>Datum</v>
      </c>
      <c r="P44" s="939" t="str">
        <f ca="1">Taal04!$B$21</f>
        <v>Tijd</v>
      </c>
      <c r="Q44" s="1142" t="str">
        <f ca="1">Taal04!$B$22</f>
        <v>Wedstrijd</v>
      </c>
      <c r="R44" s="1142"/>
      <c r="S44" s="1142"/>
      <c r="T44" s="1142" t="str">
        <f ca="1">Taal04!$B$24</f>
        <v>Eindstand</v>
      </c>
      <c r="U44" s="1143"/>
      <c r="V44" s="1143"/>
      <c r="W44" s="955"/>
      <c r="X44" s="17"/>
      <c r="Y44" s="4" t="s">
        <v>2187</v>
      </c>
      <c r="Z44" s="4" t="s">
        <v>2188</v>
      </c>
      <c r="AA44" s="138" t="s">
        <v>2142</v>
      </c>
      <c r="AB44" s="4" t="s">
        <v>2187</v>
      </c>
      <c r="AC44" s="4" t="s">
        <v>2188</v>
      </c>
      <c r="AD44" s="138" t="s">
        <v>2142</v>
      </c>
      <c r="AE44" s="849"/>
      <c r="AF44" s="251">
        <v>34</v>
      </c>
      <c r="AG44" s="106" t="str">
        <f t="shared" ca="1" si="0"/>
        <v>12|</v>
      </c>
      <c r="AH44" s="1116"/>
      <c r="AI44" s="1116"/>
      <c r="AJ44" s="70"/>
      <c r="AK44" s="1116" t="s">
        <v>2153</v>
      </c>
      <c r="AL44" s="1116" t="str">
        <f ca="1">AJ48</f>
        <v>België</v>
      </c>
      <c r="AM44" s="1116" t="str">
        <f ca="1">AJ49</f>
        <v>Slowakije</v>
      </c>
      <c r="AN44" s="1116" t="str">
        <f ca="1">AJ50</f>
        <v>Roemenië</v>
      </c>
      <c r="AO44" s="1116" t="str">
        <f ca="1">AJ51</f>
        <v>Oekraïne</v>
      </c>
      <c r="AP44" s="1116" t="s">
        <v>578</v>
      </c>
      <c r="AQ44" s="1116" t="s">
        <v>2154</v>
      </c>
      <c r="AR44" s="1116" t="s">
        <v>2155</v>
      </c>
      <c r="AS44" s="1116" t="str">
        <f ca="1">"Gelijk met "&amp;AH48</f>
        <v>Gelijk met E1</v>
      </c>
      <c r="AT44" s="1116" t="str">
        <f ca="1">"Gelijk met "&amp;AH49</f>
        <v>Gelijk met E2</v>
      </c>
      <c r="AU44" s="1116" t="str">
        <f ca="1">"Gelijk met "&amp;AH50</f>
        <v>Gelijk met E3</v>
      </c>
      <c r="AV44" s="1116" t="str">
        <f ca="1">"Gelijk met "&amp;AH51</f>
        <v>Gelijk met E4</v>
      </c>
      <c r="AW44" s="1116" t="s">
        <v>578</v>
      </c>
      <c r="AX44" s="1116" t="s">
        <v>2154</v>
      </c>
      <c r="AY44" s="1116" t="s">
        <v>2155</v>
      </c>
      <c r="AZ44" s="1116" t="s">
        <v>2156</v>
      </c>
      <c r="BA44" s="1116" t="s">
        <v>2157</v>
      </c>
    </row>
    <row r="45" spans="2:53" ht="15" customHeight="1" x14ac:dyDescent="0.25">
      <c r="B45" s="17"/>
      <c r="C45" s="954"/>
      <c r="D45" s="6">
        <v>10</v>
      </c>
      <c r="E45" s="11">
        <f>DATE(2024,6,17)+TIME(15,0,0)</f>
        <v>45460.625</v>
      </c>
      <c r="F45" s="134">
        <f t="shared" ref="F45:F50" si="19">E45+TIME(0,0,0)</f>
        <v>45460.625</v>
      </c>
      <c r="G45" s="8" t="str">
        <f ca="1">AJ50</f>
        <v>Roemenië</v>
      </c>
      <c r="H45" s="7" t="s">
        <v>2189</v>
      </c>
      <c r="I45" s="327" t="str">
        <f ca="1">AJ51</f>
        <v>Oekraïne</v>
      </c>
      <c r="J45" s="353">
        <v>0</v>
      </c>
      <c r="K45" s="54" t="s">
        <v>2189</v>
      </c>
      <c r="L45" s="353">
        <v>2</v>
      </c>
      <c r="M45" s="9"/>
      <c r="N45" s="6">
        <v>11</v>
      </c>
      <c r="O45" s="11">
        <f>DATE(2024,6,18)+TIME(18,0,0)</f>
        <v>45461.75</v>
      </c>
      <c r="P45" s="134">
        <f t="shared" ref="P45:P50" si="20">O45+TIME(0,0,0)</f>
        <v>45461.75</v>
      </c>
      <c r="Q45" s="440" t="str">
        <f ca="1">AJ57</f>
        <v>Turkije</v>
      </c>
      <c r="R45" s="441" t="s">
        <v>2189</v>
      </c>
      <c r="S45" s="442" t="str">
        <f ca="1">AJ58</f>
        <v>Georgië</v>
      </c>
      <c r="T45" s="353">
        <v>3</v>
      </c>
      <c r="U45" s="54" t="s">
        <v>2189</v>
      </c>
      <c r="V45" s="353">
        <v>1</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02|</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31|</v>
      </c>
      <c r="AE45" s="285">
        <f t="shared" ref="AE45:AE50" si="27">IF(AND(Y45="GOED",Z45="GOED",AB45="GOED",AB45="GOED"),IF(J45+L45&gt;T45+V45,J45+L45,T45+V45),IF(AND(Y45="GOED",Z45="GOED"),J45+L45,IF(AND(AB45="GOED",AB45="GOED"),T45+V45,0)))</f>
        <v>4</v>
      </c>
      <c r="AF45" s="251">
        <v>35</v>
      </c>
      <c r="AG45" s="106" t="str">
        <f t="shared" ca="1" si="0"/>
        <v>05|</v>
      </c>
      <c r="AH45" s="1116"/>
      <c r="AI45" s="1116"/>
      <c r="AJ45" s="70"/>
      <c r="AK45" s="1116"/>
      <c r="AL45" s="1116"/>
      <c r="AM45" s="1116"/>
      <c r="AN45" s="1116"/>
      <c r="AO45" s="1116"/>
      <c r="AP45" s="1116"/>
      <c r="AQ45" s="1116"/>
      <c r="AR45" s="1116"/>
      <c r="AS45" s="1116"/>
      <c r="AT45" s="1116"/>
      <c r="AU45" s="1116"/>
      <c r="AV45" s="1116"/>
      <c r="AW45" s="1116"/>
      <c r="AX45" s="1116"/>
      <c r="AY45" s="1116"/>
      <c r="AZ45" s="1116"/>
      <c r="BA45" s="1116"/>
    </row>
    <row r="46" spans="2:53" ht="15" customHeight="1" x14ac:dyDescent="0.25">
      <c r="B46" s="17"/>
      <c r="C46" s="954"/>
      <c r="D46" s="6" t="str">
        <f>"09"</f>
        <v>09</v>
      </c>
      <c r="E46" s="11">
        <f>DATE(2024,6,17)+TIME(18,0,0)</f>
        <v>45460.75</v>
      </c>
      <c r="F46" s="134">
        <f t="shared" si="19"/>
        <v>45460.75</v>
      </c>
      <c r="G46" s="8" t="str">
        <f ca="1">AJ48</f>
        <v>België</v>
      </c>
      <c r="H46" s="7" t="s">
        <v>2189</v>
      </c>
      <c r="I46" s="327" t="str">
        <f ca="1">AJ49</f>
        <v>Slowakije</v>
      </c>
      <c r="J46" s="353">
        <v>2</v>
      </c>
      <c r="K46" s="54" t="s">
        <v>2189</v>
      </c>
      <c r="L46" s="353">
        <v>1</v>
      </c>
      <c r="M46" s="9"/>
      <c r="N46" s="6">
        <v>12</v>
      </c>
      <c r="O46" s="11">
        <f>DATE(2024,6,18)+TIME(21,0,0)</f>
        <v>45461.875</v>
      </c>
      <c r="P46" s="134">
        <f t="shared" si="20"/>
        <v>45461.875</v>
      </c>
      <c r="Q46" s="440" t="str">
        <f ca="1">AJ59</f>
        <v>Portugal</v>
      </c>
      <c r="R46" s="441" t="s">
        <v>2189</v>
      </c>
      <c r="S46" s="442" t="str">
        <f ca="1">AJ60</f>
        <v>Tsjechië</v>
      </c>
      <c r="T46" s="353">
        <v>3</v>
      </c>
      <c r="U46" s="54" t="s">
        <v>2189</v>
      </c>
      <c r="V46" s="353">
        <v>1</v>
      </c>
      <c r="W46" s="955"/>
      <c r="X46" s="17"/>
      <c r="Y46" s="4" t="str">
        <f t="shared" si="21"/>
        <v>GOED</v>
      </c>
      <c r="Z46" s="4" t="str">
        <f t="shared" si="22"/>
        <v>GOED</v>
      </c>
      <c r="AA46" s="138" t="str">
        <f t="shared" si="23"/>
        <v>21|</v>
      </c>
      <c r="AB46" s="4" t="str">
        <f t="shared" si="24"/>
        <v>GOED</v>
      </c>
      <c r="AC46" s="4" t="str">
        <f t="shared" si="25"/>
        <v>GOED</v>
      </c>
      <c r="AD46" s="138" t="str">
        <f t="shared" si="26"/>
        <v>31|</v>
      </c>
      <c r="AE46" s="285">
        <f t="shared" si="27"/>
        <v>4</v>
      </c>
      <c r="AF46" s="251">
        <v>36</v>
      </c>
      <c r="AG46" s="106" t="str">
        <f t="shared" ca="1" si="0"/>
        <v>22|</v>
      </c>
      <c r="AH46" s="1116"/>
      <c r="AI46" s="1116"/>
      <c r="AJ46" s="445" t="str">
        <f ca="1">D43</f>
        <v>Groep E</v>
      </c>
      <c r="AK46" s="1116"/>
      <c r="AL46" s="1116"/>
      <c r="AM46" s="1116"/>
      <c r="AN46" s="1116"/>
      <c r="AO46" s="1116"/>
      <c r="AP46" s="1116"/>
      <c r="AQ46" s="1116"/>
      <c r="AR46" s="1116"/>
      <c r="AS46" s="1116"/>
      <c r="AT46" s="1116"/>
      <c r="AU46" s="1116"/>
      <c r="AV46" s="1116"/>
      <c r="AW46" s="1116"/>
      <c r="AX46" s="1116"/>
      <c r="AY46" s="1116"/>
      <c r="AZ46" s="1116"/>
      <c r="BA46" s="1116"/>
    </row>
    <row r="47" spans="2:53" ht="15" customHeight="1" x14ac:dyDescent="0.25">
      <c r="B47" s="17"/>
      <c r="C47" s="954"/>
      <c r="D47" s="6">
        <v>21</v>
      </c>
      <c r="E47" s="11">
        <f>DATE(2024,6,21)+TIME(15,0,0)</f>
        <v>45464.625</v>
      </c>
      <c r="F47" s="134">
        <f t="shared" si="19"/>
        <v>45464.625</v>
      </c>
      <c r="G47" s="440" t="str">
        <f ca="1">AJ49</f>
        <v>Slowakije</v>
      </c>
      <c r="H47" s="441" t="s">
        <v>2189</v>
      </c>
      <c r="I47" s="442" t="str">
        <f ca="1">AJ51</f>
        <v>Oekraïne</v>
      </c>
      <c r="J47" s="353">
        <v>0</v>
      </c>
      <c r="K47" s="54" t="s">
        <v>2189</v>
      </c>
      <c r="L47" s="353">
        <v>1</v>
      </c>
      <c r="M47" s="9"/>
      <c r="N47" s="6">
        <v>24</v>
      </c>
      <c r="O47" s="11">
        <f>DATE(2024,6,22)+TIME(15,0,0)</f>
        <v>45465.625</v>
      </c>
      <c r="P47" s="134">
        <f>O47+TIME(0,0,0)</f>
        <v>45465.625</v>
      </c>
      <c r="Q47" s="440" t="str">
        <f ca="1">AJ58</f>
        <v>Georgië</v>
      </c>
      <c r="R47" s="441" t="s">
        <v>2189</v>
      </c>
      <c r="S47" s="442" t="str">
        <f ca="1">AJ60</f>
        <v>Tsjechië</v>
      </c>
      <c r="T47" s="353">
        <v>0</v>
      </c>
      <c r="U47" s="54" t="s">
        <v>2189</v>
      </c>
      <c r="V47" s="353">
        <v>2</v>
      </c>
      <c r="W47" s="955"/>
      <c r="X47" s="17"/>
      <c r="Y47" s="4" t="str">
        <f t="shared" si="21"/>
        <v>GOED</v>
      </c>
      <c r="Z47" s="4" t="str">
        <f t="shared" si="22"/>
        <v>GOED</v>
      </c>
      <c r="AA47" s="138" t="str">
        <f t="shared" si="23"/>
        <v>01|</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02|</v>
      </c>
      <c r="AE47" s="285">
        <f t="shared" si="27"/>
        <v>2</v>
      </c>
      <c r="AF47" s="251">
        <v>37</v>
      </c>
      <c r="AG47" s="106" t="str">
        <f ca="1">IF(TYPE(VLOOKUP(AF47,$D$25:$D$60,1,FALSE)*1)=1,VLOOKUP(AF47,$D$25:$AA$60,24,FALSE),IF(TYPE(VLOOKUP(AF47,$N$25:$N$60,1,FALSE)*1)=1,VLOOKUP(AF47,$N$25:$AD$60,17,FALSE),"ERROR"))</f>
        <v>ERROR</v>
      </c>
      <c r="AH47" s="1116"/>
      <c r="AI47" s="1116"/>
      <c r="AJ47" s="444" t="s">
        <v>2162</v>
      </c>
      <c r="AK47" s="1144"/>
      <c r="AL47" s="1144"/>
      <c r="AM47" s="1144"/>
      <c r="AN47" s="1144"/>
      <c r="AO47" s="1144"/>
      <c r="AP47" s="1116"/>
      <c r="AQ47" s="1116"/>
      <c r="AR47" s="1116"/>
      <c r="AS47" s="1116"/>
      <c r="AT47" s="1116"/>
      <c r="AU47" s="1116"/>
      <c r="AV47" s="1116"/>
      <c r="AW47" s="1116"/>
      <c r="AX47" s="1116"/>
      <c r="AY47" s="1116"/>
      <c r="AZ47" s="1116"/>
      <c r="BA47" s="1116"/>
    </row>
    <row r="48" spans="2:53" ht="15" customHeight="1" x14ac:dyDescent="0.25">
      <c r="B48" s="17"/>
      <c r="C48" s="954"/>
      <c r="D48" s="6">
        <v>22</v>
      </c>
      <c r="E48" s="11">
        <f>DATE(2024,6,22)+TIME(21,0,0)</f>
        <v>45465.875</v>
      </c>
      <c r="F48" s="134">
        <f t="shared" si="19"/>
        <v>45465.875</v>
      </c>
      <c r="G48" s="8" t="str">
        <f ca="1">AJ48</f>
        <v>België</v>
      </c>
      <c r="H48" s="7" t="s">
        <v>2189</v>
      </c>
      <c r="I48" s="327" t="str">
        <f ca="1">AJ50</f>
        <v>Roemenië</v>
      </c>
      <c r="J48" s="353">
        <v>2</v>
      </c>
      <c r="K48" s="54" t="s">
        <v>2189</v>
      </c>
      <c r="L48" s="353">
        <v>0</v>
      </c>
      <c r="M48" s="9"/>
      <c r="N48" s="6">
        <v>23</v>
      </c>
      <c r="O48" s="11">
        <f>DATE(2024,6,22)+TIME(18,0,0)</f>
        <v>45465.75</v>
      </c>
      <c r="P48" s="134">
        <f>O48+TIME(0,0,0)</f>
        <v>45465.75</v>
      </c>
      <c r="Q48" s="440" t="str">
        <f ca="1">AJ57</f>
        <v>Turkije</v>
      </c>
      <c r="R48" s="441" t="s">
        <v>2189</v>
      </c>
      <c r="S48" s="442" t="str">
        <f ca="1">AJ59</f>
        <v>Portugal</v>
      </c>
      <c r="T48" s="353">
        <v>1</v>
      </c>
      <c r="U48" s="54" t="s">
        <v>2189</v>
      </c>
      <c r="V48" s="353">
        <v>4</v>
      </c>
      <c r="W48" s="955"/>
      <c r="X48" s="17"/>
      <c r="Y48" s="4" t="str">
        <f t="shared" si="21"/>
        <v>GOED</v>
      </c>
      <c r="Z48" s="4" t="str">
        <f t="shared" si="22"/>
        <v>GOED</v>
      </c>
      <c r="AA48" s="138" t="str">
        <f t="shared" si="23"/>
        <v>20|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14|</v>
      </c>
      <c r="AE48" s="285">
        <f t="shared" si="27"/>
        <v>5</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2</v>
      </c>
      <c r="AO48" s="206">
        <f>IF(ISNUMBER(L50),L50,0)</f>
        <v>2</v>
      </c>
      <c r="AP48" s="155">
        <f>IF(AA46&lt;&gt;"FOUT",IF(AM48&gt;AL49,3,IF(AM48=AL49,1,0)),0)+IF(AA48&lt;&gt;"FOUT",IF(AN48&gt;AL50,3,IF(AN48=AL50,1,0)),0)+IF(AA50&lt;&gt;"FOUT",IF(AO48&gt;AL51,3,IF(AO48=AL51,1,0)),0)</f>
        <v>9</v>
      </c>
      <c r="AQ48" s="158">
        <f>SUM(AL48:AO48)</f>
        <v>6</v>
      </c>
      <c r="AR48" s="157">
        <f>SUM(AL48:AL51)</f>
        <v>2</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95040603500001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2189</v>
      </c>
      <c r="I49" s="327" t="str">
        <f ca="1">AJ50</f>
        <v>Roemenië</v>
      </c>
      <c r="J49" s="353">
        <v>2</v>
      </c>
      <c r="K49" s="54" t="s">
        <v>2189</v>
      </c>
      <c r="L49" s="353">
        <v>1</v>
      </c>
      <c r="M49" s="9"/>
      <c r="N49" s="6">
        <v>35</v>
      </c>
      <c r="O49" s="436">
        <f>DATE(2024,6,26)+TIME(21,0,0)</f>
        <v>45469.875</v>
      </c>
      <c r="P49" s="134">
        <f t="shared" si="20"/>
        <v>45469.875</v>
      </c>
      <c r="Q49" s="8" t="str">
        <f ca="1">AJ58</f>
        <v>Georgië</v>
      </c>
      <c r="R49" s="7" t="s">
        <v>2189</v>
      </c>
      <c r="S49" s="327" t="str">
        <f ca="1">AJ59</f>
        <v>Portugal</v>
      </c>
      <c r="T49" s="353">
        <v>0</v>
      </c>
      <c r="U49" s="54" t="s">
        <v>2189</v>
      </c>
      <c r="V49" s="353">
        <v>5</v>
      </c>
      <c r="W49" s="955"/>
      <c r="X49" s="17"/>
      <c r="Y49" s="4" t="str">
        <f t="shared" si="21"/>
        <v>GOED</v>
      </c>
      <c r="Z49" s="4" t="str">
        <f t="shared" si="22"/>
        <v>GOED</v>
      </c>
      <c r="AA49" s="138" t="str">
        <f t="shared" si="23"/>
        <v>21|</v>
      </c>
      <c r="AB49" s="4" t="str">
        <f t="shared" si="24"/>
        <v>GOED</v>
      </c>
      <c r="AC49" s="4" t="str">
        <f t="shared" si="25"/>
        <v>GOED</v>
      </c>
      <c r="AD49" s="138" t="str">
        <f t="shared" si="26"/>
        <v>05|</v>
      </c>
      <c r="AE49" s="285">
        <f t="shared" si="27"/>
        <v>5</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1</v>
      </c>
      <c r="AM49" s="202">
        <v>0</v>
      </c>
      <c r="AN49" s="163">
        <f>IF(ISNUMBER(J49),J49,0)</f>
        <v>2</v>
      </c>
      <c r="AO49" s="163">
        <f>IF(ISNUMBER(J47),J47,0)</f>
        <v>0</v>
      </c>
      <c r="AP49" s="151">
        <f>IF(AA46&lt;&gt;"FOUT",IF(AL49&gt;AM48,3,IF(AL49=AM48,1,0)),0)+IF(AA49&lt;&gt;"FOUT",IF(AN49&gt;AM50,3,IF(AN49=AM50,1,0)),0)+IF(AA47&lt;&gt;"FOUT",IF(AO49&gt;AM51,3,IF(AO49=AM51,1,0)),0)</f>
        <v>3</v>
      </c>
      <c r="AQ49" s="153">
        <f>SUM(AL49:AO49)</f>
        <v>3</v>
      </c>
      <c r="AR49" s="152">
        <f>SUM(AM48:AM51)</f>
        <v>4</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34990303500004</v>
      </c>
      <c r="BA49" s="215">
        <f ca="1">RANK(AZ49,AZ48:AZ51)</f>
        <v>3</v>
      </c>
    </row>
    <row r="50" spans="1:53" ht="15" customHeight="1" x14ac:dyDescent="0.25">
      <c r="B50" s="17"/>
      <c r="C50" s="954"/>
      <c r="D50" s="6">
        <v>34</v>
      </c>
      <c r="E50" s="436">
        <f>E49</f>
        <v>45469.75</v>
      </c>
      <c r="F50" s="134">
        <f t="shared" si="19"/>
        <v>45469.75</v>
      </c>
      <c r="G50" s="8" t="str">
        <f ca="1">AJ51</f>
        <v>Oekraïne</v>
      </c>
      <c r="H50" s="7" t="s">
        <v>2189</v>
      </c>
      <c r="I50" s="327" t="str">
        <f ca="1">AJ48</f>
        <v>België</v>
      </c>
      <c r="J50" s="353">
        <v>1</v>
      </c>
      <c r="K50" s="54" t="s">
        <v>2189</v>
      </c>
      <c r="L50" s="353">
        <v>2</v>
      </c>
      <c r="M50" s="9"/>
      <c r="N50" s="6">
        <v>36</v>
      </c>
      <c r="O50" s="436">
        <f>O49</f>
        <v>45469.875</v>
      </c>
      <c r="P50" s="134">
        <f t="shared" si="20"/>
        <v>45469.875</v>
      </c>
      <c r="Q50" s="8" t="str">
        <f ca="1">AJ60</f>
        <v>Tsjechië</v>
      </c>
      <c r="R50" s="7" t="s">
        <v>2189</v>
      </c>
      <c r="S50" s="327" t="str">
        <f ca="1">AJ57</f>
        <v>Turkije</v>
      </c>
      <c r="T50" s="353">
        <v>2</v>
      </c>
      <c r="U50" s="54" t="s">
        <v>2189</v>
      </c>
      <c r="V50" s="353">
        <v>2</v>
      </c>
      <c r="W50" s="955"/>
      <c r="X50" s="17"/>
      <c r="Y50" s="4" t="str">
        <f t="shared" si="21"/>
        <v>GOED</v>
      </c>
      <c r="Z50" s="4" t="str">
        <f t="shared" si="22"/>
        <v>GOED</v>
      </c>
      <c r="AA50" s="138" t="str">
        <f t="shared" si="23"/>
        <v>12|</v>
      </c>
      <c r="AB50" s="4" t="str">
        <f t="shared" si="24"/>
        <v>GOED</v>
      </c>
      <c r="AC50" s="4" t="str">
        <f t="shared" si="25"/>
        <v>GOED</v>
      </c>
      <c r="AD50" s="138" t="str">
        <f t="shared" si="26"/>
        <v>22|</v>
      </c>
      <c r="AE50" s="285">
        <f t="shared" si="27"/>
        <v>4</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1</v>
      </c>
      <c r="AN50" s="202">
        <v>0</v>
      </c>
      <c r="AO50" s="163">
        <f>IF(ISNUMBER(J45),J45,0)</f>
        <v>0</v>
      </c>
      <c r="AP50" s="151">
        <f>IF(AA48&lt;&gt;"FOUT",IF(AL50&gt;AN48,3,IF(AL50=AN48,1,0)),0)+IF(AA49&lt;&gt;"FOUT",IF(AM50&gt;AN49,3,IF(AM50=AN49,1,0)),0)+IF(AA45&lt;&gt;"FOUT",IF(AO50&gt;AN51,3,IF(AO50=AN51,1,0)),0)</f>
        <v>0</v>
      </c>
      <c r="AQ50" s="153">
        <f>SUM(AL50:AO50)</f>
        <v>1</v>
      </c>
      <c r="AR50" s="152">
        <f>SUM(AN48:AN51)</f>
        <v>6</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4950103500003</v>
      </c>
      <c r="BA50" s="215">
        <f ca="1">RANK(AZ50,AZ48:AZ51)</f>
        <v>4</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1</v>
      </c>
      <c r="AM51" s="209">
        <f>IF(ISNUMBER(L47),L47,0)</f>
        <v>1</v>
      </c>
      <c r="AN51" s="209">
        <f>IF(ISNUMBER(L45),L45,0)</f>
        <v>2</v>
      </c>
      <c r="AO51" s="210">
        <v>0</v>
      </c>
      <c r="AP51" s="428">
        <f>IF(AA50&lt;&gt;"FOUT",IF(AL51&gt;AO48,3,IF(AL51=AO48,1,0)),0)+IF(AA47&lt;&gt;"FOUT",IF(AM51&gt;AO49,3,IF(AM51=AO49,1,0)),0)+IF(AA45&lt;&gt;"FOUT",IF(AN51&gt;AO50,3,IF(AN51=AO50,1,0)),0)</f>
        <v>6</v>
      </c>
      <c r="AQ51" s="148">
        <f>SUM(AL51:AO51)</f>
        <v>4</v>
      </c>
      <c r="AR51" s="147">
        <f>SUM(AO48:AO51)</f>
        <v>2</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65020403500002</v>
      </c>
      <c r="BA51" s="216">
        <f ca="1">RANK(AZ51,AZ48:AZ51)</f>
        <v>2</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2170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2190</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45" t="str">
        <f ca="1">"Controle "&amp;D53</f>
        <v>Controle Groep G</v>
      </c>
      <c r="Z53" s="1145"/>
      <c r="AA53" s="1145"/>
      <c r="AB53" s="1145" t="str">
        <f ca="1">"Controle "&amp;N53</f>
        <v>Controle Groep H</v>
      </c>
      <c r="AC53" s="1145"/>
      <c r="AD53" s="1145"/>
      <c r="AE53" s="849"/>
      <c r="AF53" s="251">
        <v>43</v>
      </c>
      <c r="AG53" s="106" t="str">
        <f t="shared" ca="1" si="0"/>
        <v>ERROR</v>
      </c>
      <c r="AH53" s="1116"/>
      <c r="AI53" s="1116"/>
      <c r="AJ53" s="489"/>
      <c r="AK53" s="1116" t="s">
        <v>2153</v>
      </c>
      <c r="AL53" s="1116" t="str">
        <f ca="1">AJ57</f>
        <v>Turkije</v>
      </c>
      <c r="AM53" s="1116" t="str">
        <f ca="1">AJ58</f>
        <v>Georgië</v>
      </c>
      <c r="AN53" s="1116" t="str">
        <f ca="1">AJ59</f>
        <v>Portugal</v>
      </c>
      <c r="AO53" s="1116" t="str">
        <f ca="1">AJ60</f>
        <v>Tsjechië</v>
      </c>
      <c r="AP53" s="1116" t="s">
        <v>578</v>
      </c>
      <c r="AQ53" s="1116" t="s">
        <v>2154</v>
      </c>
      <c r="AR53" s="1116" t="s">
        <v>2155</v>
      </c>
      <c r="AS53" s="1116" t="str">
        <f ca="1">"Gelijk met "&amp;AH57</f>
        <v>Gelijk met F1</v>
      </c>
      <c r="AT53" s="1116" t="str">
        <f ca="1">"Gelijk met "&amp;AH58</f>
        <v>Gelijk met F2</v>
      </c>
      <c r="AU53" s="1116" t="str">
        <f ca="1">"Gelijk met "&amp;AH59</f>
        <v>Gelijk met F3</v>
      </c>
      <c r="AV53" s="1116" t="str">
        <f ca="1">"Gelijk met "&amp;AH60</f>
        <v>Gelijk met F4</v>
      </c>
      <c r="AW53" s="1116" t="s">
        <v>578</v>
      </c>
      <c r="AX53" s="1116" t="s">
        <v>2154</v>
      </c>
      <c r="AY53" s="1116" t="s">
        <v>2155</v>
      </c>
      <c r="AZ53" s="1116" t="s">
        <v>2156</v>
      </c>
      <c r="BA53" s="1116" t="s">
        <v>2157</v>
      </c>
    </row>
    <row r="54" spans="1:53" ht="15" hidden="1" customHeight="1" x14ac:dyDescent="0.25">
      <c r="A54" s="576" t="str">
        <f>IF(A53="H","H","")</f>
        <v>H</v>
      </c>
      <c r="B54" s="17"/>
      <c r="C54" s="959"/>
      <c r="D54" s="107"/>
      <c r="E54" s="939" t="str">
        <f ca="1">Taal04!$B$20</f>
        <v>Datum</v>
      </c>
      <c r="F54" s="939" t="str">
        <f ca="1">Taal04!$B$21</f>
        <v>Tijd</v>
      </c>
      <c r="G54" s="1142" t="str">
        <f ca="1">Taal04!$B$22</f>
        <v>Wedstrijd</v>
      </c>
      <c r="H54" s="1142"/>
      <c r="I54" s="1142"/>
      <c r="J54" s="1142" t="str">
        <f ca="1">Taal04!$B$24</f>
        <v>Eindstand</v>
      </c>
      <c r="K54" s="1143"/>
      <c r="L54" s="1143"/>
      <c r="M54" s="77"/>
      <c r="N54" s="107"/>
      <c r="O54" s="939" t="str">
        <f ca="1">Taal04!$B$20</f>
        <v>Datum</v>
      </c>
      <c r="P54" s="939" t="s">
        <v>1029</v>
      </c>
      <c r="Q54" s="1142" t="str">
        <f ca="1">Taal04!$B$22</f>
        <v>Wedstrijd</v>
      </c>
      <c r="R54" s="1142"/>
      <c r="S54" s="1142"/>
      <c r="T54" s="1142" t="str">
        <f ca="1">Taal04!$B$24</f>
        <v>Eindstand</v>
      </c>
      <c r="U54" s="1143"/>
      <c r="V54" s="1143"/>
      <c r="W54" s="960"/>
      <c r="X54" s="17"/>
      <c r="Y54" s="382" t="s">
        <v>2187</v>
      </c>
      <c r="Z54" s="382" t="s">
        <v>2188</v>
      </c>
      <c r="AA54" s="443" t="s">
        <v>2142</v>
      </c>
      <c r="AB54" s="382" t="s">
        <v>2187</v>
      </c>
      <c r="AC54" s="382" t="s">
        <v>2188</v>
      </c>
      <c r="AD54" s="443" t="s">
        <v>2142</v>
      </c>
      <c r="AE54" s="849"/>
      <c r="AF54" s="251">
        <v>44</v>
      </c>
      <c r="AG54" s="106" t="str">
        <f t="shared" ca="1" si="0"/>
        <v>ERROR</v>
      </c>
      <c r="AH54" s="1116"/>
      <c r="AI54" s="1116"/>
      <c r="AJ54" s="489"/>
      <c r="AK54" s="1116"/>
      <c r="AL54" s="1116"/>
      <c r="AM54" s="1116"/>
      <c r="AN54" s="1116"/>
      <c r="AO54" s="1116"/>
      <c r="AP54" s="1116"/>
      <c r="AQ54" s="1116"/>
      <c r="AR54" s="1116"/>
      <c r="AS54" s="1116"/>
      <c r="AT54" s="1116"/>
      <c r="AU54" s="1116"/>
      <c r="AV54" s="1116"/>
      <c r="AW54" s="1116"/>
      <c r="AX54" s="1116"/>
      <c r="AY54" s="1116"/>
      <c r="AZ54" s="1116"/>
      <c r="BA54" s="1116"/>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2189</v>
      </c>
      <c r="I55" s="442" t="str">
        <f ca="1">AJ69</f>
        <v>ZZZ_land_G4</v>
      </c>
      <c r="J55" s="353"/>
      <c r="K55" s="54" t="s">
        <v>2189</v>
      </c>
      <c r="L55" s="353"/>
      <c r="M55" s="439"/>
      <c r="N55" s="6">
        <v>90</v>
      </c>
      <c r="O55" s="11">
        <f t="shared" ref="O55:O59" si="30">DATE(2024,7,15)+TIME(12,0,0)</f>
        <v>45488.5</v>
      </c>
      <c r="P55" s="134">
        <f t="shared" ref="P55:P60" si="31">O55+TIME(0,0,0)</f>
        <v>45488.5</v>
      </c>
      <c r="Q55" s="440" t="str">
        <f ca="1">AJ77</f>
        <v>ZZZ_land_H3</v>
      </c>
      <c r="R55" s="441" t="s">
        <v>2189</v>
      </c>
      <c r="S55" s="442" t="str">
        <f ca="1">AJ78</f>
        <v>ZZZ_land_H4</v>
      </c>
      <c r="T55" s="353"/>
      <c r="U55" s="54" t="s">
        <v>2189</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6"/>
      <c r="AI55" s="1116"/>
      <c r="AJ55" s="445" t="str">
        <f ca="1">N43</f>
        <v>Groep F</v>
      </c>
      <c r="AK55" s="1116"/>
      <c r="AL55" s="1116"/>
      <c r="AM55" s="1116"/>
      <c r="AN55" s="1116"/>
      <c r="AO55" s="1116"/>
      <c r="AP55" s="1116"/>
      <c r="AQ55" s="1116"/>
      <c r="AR55" s="1116"/>
      <c r="AS55" s="1116"/>
      <c r="AT55" s="1116"/>
      <c r="AU55" s="1116"/>
      <c r="AV55" s="1116"/>
      <c r="AW55" s="1116"/>
      <c r="AX55" s="1116"/>
      <c r="AY55" s="1116"/>
      <c r="AZ55" s="1116"/>
      <c r="BA55" s="1116"/>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2189</v>
      </c>
      <c r="I56" s="442" t="str">
        <f ca="1">AJ67</f>
        <v>ZZZ_land_G2</v>
      </c>
      <c r="J56" s="353"/>
      <c r="K56" s="54" t="s">
        <v>2189</v>
      </c>
      <c r="L56" s="353"/>
      <c r="M56" s="439"/>
      <c r="N56" s="6">
        <v>91</v>
      </c>
      <c r="O56" s="11">
        <f t="shared" si="30"/>
        <v>45488.5</v>
      </c>
      <c r="P56" s="134">
        <f t="shared" si="31"/>
        <v>45488.5</v>
      </c>
      <c r="Q56" s="440" t="str">
        <f ca="1">AJ75</f>
        <v>ZZZ_land_H1</v>
      </c>
      <c r="R56" s="441" t="s">
        <v>2189</v>
      </c>
      <c r="S56" s="442" t="str">
        <f ca="1">AJ76</f>
        <v>ZZZ_land_H2</v>
      </c>
      <c r="T56" s="353"/>
      <c r="U56" s="54" t="s">
        <v>2189</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6"/>
      <c r="AI56" s="1116"/>
      <c r="AJ56" s="444" t="s">
        <v>2162</v>
      </c>
      <c r="AK56" s="1116"/>
      <c r="AL56" s="1116"/>
      <c r="AM56" s="1116"/>
      <c r="AN56" s="1116"/>
      <c r="AO56" s="1116"/>
      <c r="AP56" s="1116"/>
      <c r="AQ56" s="1116"/>
      <c r="AR56" s="1116"/>
      <c r="AS56" s="1116"/>
      <c r="AT56" s="1116"/>
      <c r="AU56" s="1116"/>
      <c r="AV56" s="1116"/>
      <c r="AW56" s="1116"/>
      <c r="AX56" s="1116"/>
      <c r="AY56" s="1116"/>
      <c r="AZ56" s="1116"/>
      <c r="BA56" s="1116"/>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2189</v>
      </c>
      <c r="I57" s="442" t="str">
        <f ca="1">AJ67</f>
        <v>ZZZ_land_G2</v>
      </c>
      <c r="J57" s="353"/>
      <c r="K57" s="54" t="s">
        <v>2189</v>
      </c>
      <c r="L57" s="353"/>
      <c r="M57" s="439"/>
      <c r="N57" s="6">
        <v>92</v>
      </c>
      <c r="O57" s="11">
        <f t="shared" si="30"/>
        <v>45488.5</v>
      </c>
      <c r="P57" s="134">
        <f t="shared" si="31"/>
        <v>45488.5</v>
      </c>
      <c r="Q57" s="440" t="str">
        <f ca="1">AJ78</f>
        <v>ZZZ_land_H4</v>
      </c>
      <c r="R57" s="441" t="s">
        <v>2189</v>
      </c>
      <c r="S57" s="442" t="str">
        <f ca="1">AJ76</f>
        <v>ZZZ_land_H2</v>
      </c>
      <c r="T57" s="353"/>
      <c r="U57" s="54" t="s">
        <v>2189</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3</v>
      </c>
      <c r="AN57" s="206">
        <f>IF(ISNUMBER(T48),T48,0)</f>
        <v>1</v>
      </c>
      <c r="AO57" s="206">
        <f>IF(ISNUMBER(V50),V50,0)</f>
        <v>2</v>
      </c>
      <c r="AP57" s="155">
        <f>IF(AD45&lt;&gt;"FOUT",IF(AM57&gt;AL58,3,IF(AM57=AL58,1,0)),0)+IF(AD48&lt;&gt;"FOUT",IF(AN57&gt;AL59,3,IF(AN57=AL59,1,0)),0)+IF(AD50&lt;&gt;"FOUT",IF(AO57&gt;AL60,3,IF(AO57=AL60,1,0)),0)</f>
        <v>4</v>
      </c>
      <c r="AQ57" s="158">
        <f>SUM(AL57:AO57)</f>
        <v>6</v>
      </c>
      <c r="AR57" s="157">
        <f>SUM(AL57:AL60)</f>
        <v>7</v>
      </c>
      <c r="AS57" s="203">
        <v>0</v>
      </c>
      <c r="AT57" s="156">
        <f>IF($AP57=$AP58,AM57,0)</f>
        <v>0</v>
      </c>
      <c r="AU57" s="156">
        <f>IF($AP57=$AP59,AN57,0)</f>
        <v>0</v>
      </c>
      <c r="AV57" s="199">
        <f>IF($AP57=$AP60,AO57,0)</f>
        <v>2</v>
      </c>
      <c r="AW57" s="155">
        <f>IF(AT57&gt;AS58,3,IF(AT57=AS58,1,0))+IF(AU57&gt;AS59,3,IF(AU57=AS59,1,0))+IF(AV57&gt;AS60,3,IF(AV57=AS60,1,0))</f>
        <v>3</v>
      </c>
      <c r="AX57" s="158">
        <f>SUM(AS57:AV57)</f>
        <v>2</v>
      </c>
      <c r="AY57" s="157">
        <f>SUM(AS57:AS60)</f>
        <v>2</v>
      </c>
      <c r="AZ57" s="211">
        <f ca="1">AP57*10000000000000+(500+AQ57-AR57)*10000000000+AQ57*100000000+AW57*1000000+(500+AX57-AY57)*1000+AX57*10+AI57</f>
        <v>44990603500024</v>
      </c>
      <c r="BA57" s="214">
        <f ca="1">RANK(AZ57,AZ57:AZ60)</f>
        <v>3</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2189</v>
      </c>
      <c r="I58" s="442" t="str">
        <f ca="1">AJ68</f>
        <v>ZZZ_land_G3</v>
      </c>
      <c r="J58" s="353"/>
      <c r="K58" s="54" t="s">
        <v>2189</v>
      </c>
      <c r="L58" s="353"/>
      <c r="M58" s="439"/>
      <c r="N58" s="6">
        <v>93</v>
      </c>
      <c r="O58" s="11">
        <f t="shared" si="30"/>
        <v>45488.5</v>
      </c>
      <c r="P58" s="134">
        <f t="shared" si="31"/>
        <v>45488.5</v>
      </c>
      <c r="Q58" s="440" t="str">
        <f ca="1">AJ75</f>
        <v>ZZZ_land_H1</v>
      </c>
      <c r="R58" s="441" t="s">
        <v>2189</v>
      </c>
      <c r="S58" s="442" t="str">
        <f ca="1">AJ77</f>
        <v>ZZZ_land_H3</v>
      </c>
      <c r="T58" s="353"/>
      <c r="U58" s="54" t="s">
        <v>2189</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1</v>
      </c>
      <c r="AM58" s="202">
        <v>0</v>
      </c>
      <c r="AN58" s="163">
        <f>IF(ISNUMBER(T49),T49,0)</f>
        <v>0</v>
      </c>
      <c r="AO58" s="163">
        <f>IF(ISNUMBER(T47),T47,0)</f>
        <v>0</v>
      </c>
      <c r="AP58" s="151">
        <f>IF(AD45&lt;&gt;"FOUT",IF(AL58&gt;AM57,3,IF(AL58=AM57,1,0)),0)+IF(AD49&lt;&gt;"FOUT",IF(AN58&gt;AM59,3,IF(AN58=AM59,1,0)),0)+IF(AD47&lt;&gt;"FOUT",IF(AO58&gt;AM60,3,IF(AO58=AM60,1,0)),0)</f>
        <v>0</v>
      </c>
      <c r="AQ58" s="153">
        <f>SUM(AL58:AO58)</f>
        <v>1</v>
      </c>
      <c r="AR58" s="152">
        <f>SUM(AM57:AM60)</f>
        <v>10</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4910103500001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2189</v>
      </c>
      <c r="I59" s="442" t="str">
        <f ca="1">AJ68</f>
        <v>ZZZ_land_G3</v>
      </c>
      <c r="J59" s="353"/>
      <c r="K59" s="54" t="s">
        <v>2189</v>
      </c>
      <c r="L59" s="353"/>
      <c r="M59" s="439"/>
      <c r="N59" s="6">
        <v>94</v>
      </c>
      <c r="O59" s="11">
        <f t="shared" si="30"/>
        <v>45488.5</v>
      </c>
      <c r="P59" s="134">
        <f t="shared" si="31"/>
        <v>45488.5</v>
      </c>
      <c r="Q59" s="440" t="str">
        <f ca="1">AJ76</f>
        <v>ZZZ_land_H2</v>
      </c>
      <c r="R59" s="441" t="s">
        <v>2189</v>
      </c>
      <c r="S59" s="442" t="str">
        <f ca="1">AJ77</f>
        <v>ZZZ_land_H3</v>
      </c>
      <c r="T59" s="353"/>
      <c r="U59" s="54" t="s">
        <v>2189</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4</v>
      </c>
      <c r="AM59" s="163">
        <f>IF(ISNUMBER(V49),V49,0)</f>
        <v>5</v>
      </c>
      <c r="AN59" s="202">
        <v>0</v>
      </c>
      <c r="AO59" s="163">
        <f>IF(ISNUMBER(T46),T46,0)</f>
        <v>3</v>
      </c>
      <c r="AP59" s="151">
        <f>IF(AD48&lt;&gt;"FOUT",IF(AL59&gt;AN57,3,IF(AL59=AN57,1,0)),0)+IF(AD49&lt;&gt;"FOUT",IF(AM59&gt;AN58,3,IF(AM59=AN58,1,0)),0)+IF(AD46&lt;&gt;"FOUT",IF(AO59&gt;AN60,3,IF(AO59=AN60,1,0)),0)</f>
        <v>9</v>
      </c>
      <c r="AQ59" s="153">
        <f>SUM(AL59:AO59)</f>
        <v>12</v>
      </c>
      <c r="AR59" s="152">
        <f>SUM(AN57:AN60)</f>
        <v>2</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95101203500002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2189</v>
      </c>
      <c r="I60" s="442" t="str">
        <f ca="1">AJ66</f>
        <v>ZZZ_land_G1</v>
      </c>
      <c r="J60" s="353"/>
      <c r="K60" s="54" t="s">
        <v>2189</v>
      </c>
      <c r="L60" s="353"/>
      <c r="M60" s="439"/>
      <c r="N60" s="6">
        <v>95</v>
      </c>
      <c r="O60" s="436">
        <f>O59</f>
        <v>45488.5</v>
      </c>
      <c r="P60" s="134">
        <f t="shared" si="31"/>
        <v>45488.5</v>
      </c>
      <c r="Q60" s="440" t="str">
        <f ca="1">AJ78</f>
        <v>ZZZ_land_H4</v>
      </c>
      <c r="R60" s="441" t="s">
        <v>2189</v>
      </c>
      <c r="S60" s="442" t="str">
        <f ca="1">AJ75</f>
        <v>ZZZ_land_H1</v>
      </c>
      <c r="T60" s="353"/>
      <c r="U60" s="54" t="s">
        <v>2189</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2</v>
      </c>
      <c r="AM60" s="209">
        <f>IF(ISNUMBER(V47),V47,0)</f>
        <v>2</v>
      </c>
      <c r="AN60" s="209">
        <f>IF(ISNUMBER(V46),V46,0)</f>
        <v>1</v>
      </c>
      <c r="AO60" s="210">
        <v>0</v>
      </c>
      <c r="AP60" s="428">
        <f>IF(AD50&lt;&gt;"FOUT",IF(AL60&gt;AO57,3,IF(AL60=AO57,1,0)),0)+IF(AD47&lt;&gt;"FOUT",IF(AM60&gt;AO58,3,IF(AM60=AO58,1,0)),0)+IF(AD46&lt;&gt;"FOUT",IF(AN60&gt;AO59,3,IF(AN60=AO59,1,0)),0)</f>
        <v>4</v>
      </c>
      <c r="AQ60" s="148">
        <f>SUM(AL60:AO60)</f>
        <v>5</v>
      </c>
      <c r="AR60" s="147">
        <f>SUM(AO57:AO60)</f>
        <v>5</v>
      </c>
      <c r="AS60" s="149">
        <f>IF($AP60=$AP57,AL60,0)</f>
        <v>2</v>
      </c>
      <c r="AT60" s="146">
        <f>IF($AP60=$AP58,AM60,0)</f>
        <v>0</v>
      </c>
      <c r="AU60" s="146">
        <f>IF($AP60=$AP59,AN60,0)</f>
        <v>0</v>
      </c>
      <c r="AV60" s="201">
        <v>0</v>
      </c>
      <c r="AW60" s="145">
        <f>IF(AS60&gt;AV57,3,IF(AS60=AV57,1,0))+IF(AT60&gt;AV58,3,IF(AT60=AV58,1,0))+IF(AU60&gt;AV59,3,IF(AU60=AV59,1,0))</f>
        <v>3</v>
      </c>
      <c r="AX60" s="148">
        <f>SUM(AS60:AV60)</f>
        <v>2</v>
      </c>
      <c r="AY60" s="147">
        <f>SUM(AV57:AV60)</f>
        <v>2</v>
      </c>
      <c r="AZ60" s="213">
        <f ca="1">AP60*10000000000000+(500+AQ60-AR60)*10000000000+AQ60*100000000+AW60*1000000+(500+AX60-AY60)*1000+AX60*10+AI60</f>
        <v>45000503500023</v>
      </c>
      <c r="BA60" s="216">
        <f ca="1">RANK(AZ60,AZ57:AZ60)</f>
        <v>2</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2170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6"/>
      <c r="AI62" s="1148"/>
      <c r="AJ62" s="489"/>
      <c r="AK62" s="1115" t="s">
        <v>2153</v>
      </c>
      <c r="AL62" s="1115" t="str">
        <f ca="1">AJ66</f>
        <v>ZZZ_land_G1</v>
      </c>
      <c r="AM62" s="1115" t="str">
        <f ca="1">AJ67</f>
        <v>ZZZ_land_G2</v>
      </c>
      <c r="AN62" s="1115" t="str">
        <f ca="1">AJ68</f>
        <v>ZZZ_land_G3</v>
      </c>
      <c r="AO62" s="1115" t="str">
        <f ca="1">AJ69</f>
        <v>ZZZ_land_G4</v>
      </c>
      <c r="AP62" s="1115" t="s">
        <v>578</v>
      </c>
      <c r="AQ62" s="1115" t="s">
        <v>2154</v>
      </c>
      <c r="AR62" s="1115" t="s">
        <v>2155</v>
      </c>
      <c r="AS62" s="1115" t="str">
        <f ca="1">"Gelijk met "&amp;AH66</f>
        <v>Gelijk met G1</v>
      </c>
      <c r="AT62" s="1115" t="str">
        <f ca="1">"Gelijk met "&amp;AH67</f>
        <v>Gelijk met G2</v>
      </c>
      <c r="AU62" s="1115" t="str">
        <f ca="1">"Gelijk met "&amp;AH68</f>
        <v>Gelijk met G3</v>
      </c>
      <c r="AV62" s="1115" t="str">
        <f ca="1">"Gelijk met "&amp;AH69</f>
        <v>Gelijk met G4</v>
      </c>
      <c r="AW62" s="1115" t="s">
        <v>578</v>
      </c>
      <c r="AX62" s="1115" t="s">
        <v>2154</v>
      </c>
      <c r="AY62" s="1115" t="s">
        <v>2155</v>
      </c>
      <c r="AZ62" s="1115" t="s">
        <v>2156</v>
      </c>
      <c r="BA62" s="1115" t="s">
        <v>2157</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46" t="s">
        <v>2191</v>
      </c>
      <c r="Z63" s="1146"/>
      <c r="AA63" s="1146"/>
      <c r="AB63" s="1146"/>
      <c r="AC63" s="1146"/>
      <c r="AD63" s="1146"/>
      <c r="AE63" s="1146"/>
      <c r="AF63" s="1146"/>
      <c r="AG63" s="1146"/>
      <c r="AH63" s="1116"/>
      <c r="AI63" s="1148"/>
      <c r="AJ63" s="489"/>
      <c r="AK63" s="1115"/>
      <c r="AL63" s="1115"/>
      <c r="AM63" s="1115"/>
      <c r="AN63" s="1115"/>
      <c r="AO63" s="1115"/>
      <c r="AP63" s="1115"/>
      <c r="AQ63" s="1115"/>
      <c r="AR63" s="1115"/>
      <c r="AS63" s="1115"/>
      <c r="AT63" s="1115"/>
      <c r="AU63" s="1115"/>
      <c r="AV63" s="1115"/>
      <c r="AW63" s="1115"/>
      <c r="AX63" s="1115"/>
      <c r="AY63" s="1115"/>
      <c r="AZ63" s="1115"/>
      <c r="BA63" s="1115"/>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46"/>
      <c r="Z64" s="1146"/>
      <c r="AA64" s="1146"/>
      <c r="AB64" s="1146"/>
      <c r="AC64" s="1146"/>
      <c r="AD64" s="1146"/>
      <c r="AE64" s="1146"/>
      <c r="AF64" s="1146"/>
      <c r="AG64" s="1146"/>
      <c r="AH64" s="1116"/>
      <c r="AI64" s="1148"/>
      <c r="AJ64" s="445" t="str">
        <f ca="1">D53</f>
        <v>Groep G</v>
      </c>
      <c r="AK64" s="1115"/>
      <c r="AL64" s="1115"/>
      <c r="AM64" s="1115"/>
      <c r="AN64" s="1115"/>
      <c r="AO64" s="1115"/>
      <c r="AP64" s="1115"/>
      <c r="AQ64" s="1115"/>
      <c r="AR64" s="1115"/>
      <c r="AS64" s="1115"/>
      <c r="AT64" s="1115"/>
      <c r="AU64" s="1115"/>
      <c r="AV64" s="1115"/>
      <c r="AW64" s="1115"/>
      <c r="AX64" s="1115"/>
      <c r="AY64" s="1115"/>
      <c r="AZ64" s="1115"/>
      <c r="BA64" s="1115"/>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46"/>
      <c r="Z65" s="1146"/>
      <c r="AA65" s="1146"/>
      <c r="AB65" s="1146"/>
      <c r="AC65" s="1146"/>
      <c r="AD65" s="1146"/>
      <c r="AE65" s="1146"/>
      <c r="AF65" s="1146"/>
      <c r="AG65" s="1146"/>
      <c r="AH65" s="1116"/>
      <c r="AI65" s="1148"/>
      <c r="AJ65" s="444" t="s">
        <v>2162</v>
      </c>
      <c r="AK65" s="1115"/>
      <c r="AL65" s="1115"/>
      <c r="AM65" s="1115"/>
      <c r="AN65" s="1115"/>
      <c r="AO65" s="1115"/>
      <c r="AP65" s="1115"/>
      <c r="AQ65" s="1115"/>
      <c r="AR65" s="1115"/>
      <c r="AS65" s="1115"/>
      <c r="AT65" s="1115"/>
      <c r="AU65" s="1115"/>
      <c r="AV65" s="1115"/>
      <c r="AW65" s="1115"/>
      <c r="AX65" s="1115"/>
      <c r="AY65" s="1115"/>
      <c r="AZ65" s="1115"/>
      <c r="BA65" s="1115"/>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2192</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2193</v>
      </c>
      <c r="Z68" s="189">
        <f>LARGE($AP$12:$AP$15,1)</f>
        <v>9</v>
      </c>
      <c r="AA68" s="189">
        <f>LARGE($AP$21:$AP$24,1)</f>
        <v>7</v>
      </c>
      <c r="AB68" s="189">
        <f>LARGE($AP$30:$AP$33,1)</f>
        <v>9</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2194</v>
      </c>
      <c r="Z69" s="189">
        <f>LARGE($AP$12:$AP$15,2)</f>
        <v>6</v>
      </c>
      <c r="AA69" s="189">
        <f>LARGE($AP$21:$AP$24,2)</f>
        <v>5</v>
      </c>
      <c r="AB69" s="189">
        <f>LARGE($AP$30:$AP$33,2)</f>
        <v>6</v>
      </c>
      <c r="AC69" s="189">
        <f>LARGE($AP$39:$AP$42,2)</f>
        <v>6</v>
      </c>
      <c r="AD69" s="189">
        <f>LARGE($AP$48:$AP$51,2)</f>
        <v>6</v>
      </c>
      <c r="AE69" s="189">
        <f>LARGE($AP$57:$AP$60,2)</f>
        <v>4</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2195</v>
      </c>
      <c r="Z70" s="189">
        <f>LARGE($AP$12:$AP$15,3)</f>
        <v>3</v>
      </c>
      <c r="AA70" s="189">
        <f>LARGE($AP$21:$AP$24,3)</f>
        <v>4</v>
      </c>
      <c r="AB70" s="189">
        <f>LARGE($AP$30:$AP$33,3)</f>
        <v>3</v>
      </c>
      <c r="AC70" s="189">
        <f>LARGE($AP$39:$AP$42,3)</f>
        <v>1</v>
      </c>
      <c r="AD70" s="189">
        <f>LARGE($AP$48:$AP$51,3)</f>
        <v>3</v>
      </c>
      <c r="AE70" s="189">
        <f>LARGE($AP$57:$AP$60,3)</f>
        <v>4</v>
      </c>
      <c r="AF70" s="478">
        <f>LARGE($AP$66:$AP$69,3)</f>
        <v>0</v>
      </c>
      <c r="AG70" s="478">
        <f>LARGE($AP$75:$AP$78,3)</f>
        <v>0</v>
      </c>
      <c r="AH70" s="70"/>
      <c r="AI70" s="444"/>
      <c r="AJ70" s="444" t="s">
        <v>2170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2196</v>
      </c>
      <c r="Z71" s="189">
        <f>LARGE($AP$12:$AP$15,4)</f>
        <v>0</v>
      </c>
      <c r="AA71" s="189">
        <f>LARGE($AP$21:$AP$24,4)</f>
        <v>0</v>
      </c>
      <c r="AB71" s="189">
        <f>LARGE($AP$30:$AP$33,4)</f>
        <v>0</v>
      </c>
      <c r="AC71" s="189">
        <f>LARGE($AP$39:$AP$42,4)</f>
        <v>1</v>
      </c>
      <c r="AD71" s="189">
        <f>LARGE($AP$48:$AP$51,4)</f>
        <v>0</v>
      </c>
      <c r="AE71" s="189">
        <f>LARGE($AP$57:$AP$60,4)</f>
        <v>0</v>
      </c>
      <c r="AF71" s="478">
        <f>LARGE($AP$66:$AP$69,4)</f>
        <v>0</v>
      </c>
      <c r="AG71" s="478">
        <f>LARGE($AP$75:$AP$78,4)</f>
        <v>0</v>
      </c>
      <c r="AH71" s="1116"/>
      <c r="AI71" s="1115"/>
      <c r="AJ71" s="489"/>
      <c r="AK71" s="1115" t="s">
        <v>2153</v>
      </c>
      <c r="AL71" s="1115" t="str">
        <f ca="1">AJ75</f>
        <v>ZZZ_land_H1</v>
      </c>
      <c r="AM71" s="1115" t="str">
        <f ca="1">AJ76</f>
        <v>ZZZ_land_H2</v>
      </c>
      <c r="AN71" s="1115" t="str">
        <f ca="1">AJ77</f>
        <v>ZZZ_land_H3</v>
      </c>
      <c r="AO71" s="1115" t="str">
        <f ca="1">AJ78</f>
        <v>ZZZ_land_H4</v>
      </c>
      <c r="AP71" s="1115" t="s">
        <v>578</v>
      </c>
      <c r="AQ71" s="1115" t="s">
        <v>2154</v>
      </c>
      <c r="AR71" s="1115" t="s">
        <v>2155</v>
      </c>
      <c r="AS71" s="1115" t="str">
        <f ca="1">"Gelijk met "&amp;AH75</f>
        <v>Gelijk met H1</v>
      </c>
      <c r="AT71" s="1115" t="str">
        <f ca="1">"Gelijk met "&amp;AH76</f>
        <v>Gelijk met H2</v>
      </c>
      <c r="AU71" s="1115" t="str">
        <f ca="1">"Gelijk met "&amp;AH77</f>
        <v>Gelijk met H3</v>
      </c>
      <c r="AV71" s="1115" t="str">
        <f ca="1">"Gelijk met "&amp;AH78</f>
        <v>Gelijk met H4</v>
      </c>
      <c r="AW71" s="1115" t="s">
        <v>578</v>
      </c>
      <c r="AX71" s="1115" t="s">
        <v>2154</v>
      </c>
      <c r="AY71" s="1115" t="s">
        <v>2155</v>
      </c>
      <c r="AZ71" s="1115" t="s">
        <v>2156</v>
      </c>
      <c r="BA71" s="1115" t="s">
        <v>2157</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2197</v>
      </c>
      <c r="Z72" s="189" t="str">
        <f ca="1">IF(Z$67=6,IF(Z68=$AP$12,$AH$12,"")&amp;IF(Z68=$AP$13,$AH$13,"")&amp;IF(Z68=$AP$14,$AH$14,"")&amp;IF(Z68=$AP$15,$AH$15,""),"")</f>
        <v>A1</v>
      </c>
      <c r="AA72" s="189" t="str">
        <f ca="1">IF(AA$67=6,IF(AA68=$AP$21,$AH$21,"")&amp;IF(AA68=$AP$22,$AH$22,"")&amp;IF(AA68=$AP$23,$AH$23,"")&amp;IF(AA68=$AP$24,$AH$24,""),"")</f>
        <v>B1</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6"/>
      <c r="AI72" s="1115"/>
      <c r="AJ72" s="489"/>
      <c r="AK72" s="1115"/>
      <c r="AL72" s="1115"/>
      <c r="AM72" s="1115"/>
      <c r="AN72" s="1115"/>
      <c r="AO72" s="1115"/>
      <c r="AP72" s="1115"/>
      <c r="AQ72" s="1115"/>
      <c r="AR72" s="1115"/>
      <c r="AS72" s="1115"/>
      <c r="AT72" s="1115"/>
      <c r="AU72" s="1115"/>
      <c r="AV72" s="1115"/>
      <c r="AW72" s="1115"/>
      <c r="AX72" s="1115"/>
      <c r="AY72" s="1115"/>
      <c r="AZ72" s="1115"/>
      <c r="BA72" s="1115"/>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2198</v>
      </c>
      <c r="Z73" s="189" t="str">
        <f ca="1">IF(Z$67=6,IF(Z69=$AP$12,$AH$12,"")&amp;IF(Z69=$AP$13,$AH$13,"")&amp;IF(Z69=$AP$14,$AH$14,"")&amp;IF(Z69=$AP$15,$AH$15,""),"")</f>
        <v>A4</v>
      </c>
      <c r="AA73" s="189" t="str">
        <f ca="1">IF(AA$67=6,IF(AA69=$AP$21,$AH$21,"")&amp;IF(AA69=$AP$22,$AH$22,"")&amp;IF(AA69=$AP$23,$AH$23,"")&amp;IF(AA69=$AP$24,$AH$24,""),"")</f>
        <v>B3</v>
      </c>
      <c r="AB73" s="189" t="str">
        <f ca="1">IF(AB$67=6,IF(AB69=$AP$30,$AH$30,"")&amp;IF(AB69=$AP$31,$AH$31,"")&amp;IF(AB69=$AP$32,$AH$32,"")&amp;IF(AB69=$AP$33,$AH$33,""),"")</f>
        <v>C2</v>
      </c>
      <c r="AC73" s="189" t="str">
        <f ca="1">IF(AC$67=6,IF(AC69=$AP$39,$AH$39,"")&amp;IF(AC69=$AP$40,$AH$40,"")&amp;IF(AC69=$AP$41,$AH$41,"")&amp;IF(AC69=$AP$42,$AH$42,""),"")</f>
        <v>D2</v>
      </c>
      <c r="AD73" s="189" t="str">
        <f ca="1">IF(AD$67,IF(AD69=$AP$48,$AH$48,"")&amp;IF(AD69=$AP$49,$AH$49,"")&amp;IF(AD69=$AP$50,$AH$50,"")&amp;IF(AD69=$AP$51,$AH$51,""),"")</f>
        <v>E4</v>
      </c>
      <c r="AE73" s="189" t="str">
        <f ca="1">IF(AE$67=6,IF(AE69=$AP$57,$AH$57,"")&amp;IF(AE69=$AP$58,$AH$58,"")&amp;IF(AE69=$AP$59,$AH$59,"")&amp;IF(AE69=$AP$60,$AH$60,""),"")</f>
        <v>F1F4</v>
      </c>
      <c r="AF73" s="189" t="str">
        <f>IF(AF$67=6,IF(AF69=$AP$66,$AH$66,"")&amp;IF(AF69=$AP$67,$AH$67,"")&amp;IF(AF69=$AP$68,$AH$68,"")&amp;IF(AF69=$AP$69,$AH$69,""),"")</f>
        <v/>
      </c>
      <c r="AG73" s="189" t="str">
        <f ca="1">IF(AG$67=6,IF(AG69=$AP$75,$AH$75,"")&amp;IF(AG69=$AP$76,$AH$76,"")&amp;IF(AG69=$AP$77,$AH$77,"")&amp;IF(AG69=$AP$78,$AH$78,""),"")</f>
        <v/>
      </c>
      <c r="AH73" s="1116"/>
      <c r="AI73" s="1115"/>
      <c r="AJ73" s="445" t="str">
        <f ca="1">N53</f>
        <v>Groep H</v>
      </c>
      <c r="AK73" s="1115"/>
      <c r="AL73" s="1115"/>
      <c r="AM73" s="1115"/>
      <c r="AN73" s="1115"/>
      <c r="AO73" s="1115"/>
      <c r="AP73" s="1115"/>
      <c r="AQ73" s="1115"/>
      <c r="AR73" s="1115"/>
      <c r="AS73" s="1115"/>
      <c r="AT73" s="1115"/>
      <c r="AU73" s="1115"/>
      <c r="AV73" s="1115"/>
      <c r="AW73" s="1115"/>
      <c r="AX73" s="1115"/>
      <c r="AY73" s="1115"/>
      <c r="AZ73" s="1115"/>
      <c r="BA73" s="1115"/>
    </row>
    <row r="74" spans="1:53" ht="15" customHeight="1" x14ac:dyDescent="0.25">
      <c r="C74" s="166"/>
      <c r="D74" s="166"/>
      <c r="E74" s="166"/>
      <c r="F74" s="166"/>
      <c r="G74" s="166"/>
      <c r="H74" s="166"/>
      <c r="I74" s="166"/>
      <c r="J74" s="166"/>
      <c r="K74" s="166"/>
      <c r="L74" s="166"/>
      <c r="M74" s="166"/>
      <c r="N74" s="166"/>
      <c r="O74" s="166"/>
      <c r="P74" s="166"/>
      <c r="Q74" s="166"/>
      <c r="R74" s="166"/>
      <c r="S74" s="166"/>
      <c r="Y74" s="191" t="s">
        <v>2199</v>
      </c>
      <c r="Z74" s="189" t="str">
        <f ca="1">IF(Z$67=6,IF(Z70=$AP$12,$AH$12,"")&amp;IF(Z70=$AP$13,$AH$13,"")&amp;IF(Z70=$AP$14,$AH$14,"")&amp;IF(Z70=$AP$15,$AH$15,""),"")</f>
        <v>A3</v>
      </c>
      <c r="AA74" s="189" t="str">
        <f ca="1">IF(AA$67=6,IF(AA70=$AP$21,$AH$21,"")&amp;IF(AA70=$AP$22,$AH$22,"")&amp;IF(AA70=$AP$23,$AH$23,"")&amp;IF(AA70=$AP$24,$AH$24,""),"")</f>
        <v>B2</v>
      </c>
      <c r="AB74" s="189" t="str">
        <f ca="1">IF(AB$67=6,IF(AB70=$AP$30,$AH$30,"")&amp;IF(AB70=$AP$31,$AH$31,"")&amp;IF(AB70=$AP$32,$AH$32,"")&amp;IF(AB70=$AP$33,$AH$33,""),"")</f>
        <v>C3</v>
      </c>
      <c r="AC74" s="189" t="str">
        <f ca="1">IF(AC$67=6,IF(AC70=$AP$39,$AH$39,"")&amp;IF(AC70=$AP$40,$AH$40,"")&amp;IF(AC70=$AP$41,$AH$41,"")&amp;IF(AC70=$AP$42,$AH$42,""),"")</f>
        <v>D1D3</v>
      </c>
      <c r="AD74" s="189" t="str">
        <f ca="1">IF(AD$67,IF(AD70=$AP$48,$AH$48,"")&amp;IF(AD70=$AP$49,$AH$49,"")&amp;IF(AD70=$AP$50,$AH$50,"")&amp;IF(AD70=$AP$51,$AH$51,""),"")</f>
        <v>E2</v>
      </c>
      <c r="AE74" s="189" t="str">
        <f ca="1">IF(AE$67=6,IF(AE70=$AP$57,$AH$57,"")&amp;IF(AE70=$AP$58,$AH$58,"")&amp;IF(AE70=$AP$59,$AH$59,"")&amp;IF(AE70=$AP$60,$AH$60,""),"")</f>
        <v>F1F4</v>
      </c>
      <c r="AF74" s="189" t="str">
        <f>IF(AF$67=6,IF(AF70=$AP$66,$AH$66,"")&amp;IF(AF70=$AP$67,$AH$67,"")&amp;IF(AF70=$AP$68,$AH$68,"")&amp;IF(AF70=$AP$69,$AH$69,""),"")</f>
        <v/>
      </c>
      <c r="AG74" s="189" t="str">
        <f ca="1">IF(AG$67=6,IF(AG70=$AP$75,$AH$75,"")&amp;IF(AG70=$AP$76,$AH$76,"")&amp;IF(AG70=$AP$77,$AH$77,"")&amp;IF(AG70=$AP$78,$AH$78,""),"")</f>
        <v/>
      </c>
      <c r="AH74" s="1116"/>
      <c r="AI74" s="1115"/>
      <c r="AJ74" s="444" t="s">
        <v>2162</v>
      </c>
      <c r="AK74" s="1147"/>
      <c r="AL74" s="1147"/>
      <c r="AM74" s="1147"/>
      <c r="AN74" s="1147"/>
      <c r="AO74" s="1147"/>
      <c r="AP74" s="1147"/>
      <c r="AQ74" s="1147"/>
      <c r="AR74" s="1147"/>
      <c r="AS74" s="1115"/>
      <c r="AT74" s="1115"/>
      <c r="AU74" s="1115"/>
      <c r="AV74" s="1115"/>
      <c r="AW74" s="1115"/>
      <c r="AX74" s="1115"/>
      <c r="AY74" s="1115"/>
      <c r="AZ74" s="1115"/>
      <c r="BA74" s="1115"/>
    </row>
    <row r="75" spans="1:53" ht="15" customHeight="1" x14ac:dyDescent="0.25">
      <c r="C75" s="166"/>
      <c r="D75" s="166"/>
      <c r="E75" s="166"/>
      <c r="F75" s="166"/>
      <c r="G75" s="166"/>
      <c r="H75" s="166"/>
      <c r="I75" s="166"/>
      <c r="J75" s="166"/>
      <c r="K75" s="166"/>
      <c r="L75" s="166"/>
      <c r="M75" s="166"/>
      <c r="N75" s="166"/>
      <c r="O75" s="166"/>
      <c r="P75" s="166"/>
      <c r="Q75" s="166"/>
      <c r="R75" s="166"/>
      <c r="S75" s="166"/>
      <c r="Y75" s="191" t="s">
        <v>2200</v>
      </c>
      <c r="Z75" s="189" t="str">
        <f ca="1">IF(Z$67=6,IF(Z71=$AP$12,$AH$12,"")&amp;IF(Z71=$AP$13,$AH$13,"")&amp;IF(Z71=$AP$14,$AH$14,"")&amp;IF(Z71=$AP$15,$AH$15,""),"")</f>
        <v>A2</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D1D3</v>
      </c>
      <c r="AD75" s="189" t="str">
        <f ca="1">IF(AD$67,IF(AD71=$AP$48,$AH$48,"")&amp;IF(AD71=$AP$49,$AH$49,"")&amp;IF(AD71=$AP$50,$AH$50,"")&amp;IF(AD71=$AP$51,$AH$51,""),"")</f>
        <v>E3</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2201</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2202</v>
      </c>
      <c r="Z77" s="478" t="str">
        <f ca="1">IF(LEN(Z73)&gt;=2,VLOOKUP(LEFT(Z73,2),Voorblad!$X$67:$Y$98,2),"")&amp;IF(LEN(Z73)&gt;=4," / "&amp;VLOOKUP(RIGHT(LEFT(Z73,4),2),Voorblad!$X$67:$Y$98,2),"")&amp;IF(LEN(Z73)&gt;=6," / "&amp;VLOOKUP(RIGHT(LEFT(Z73,6),2),Voorblad!$X$67:$Y$98,2),"")&amp;IF(LEN(Z73)&gt;=8," / "&amp;VLOOKUP(RIGHT(LEFT(Z73,8),2),Voorblad!$X$67:$Y$98,2),"")</f>
        <v>Zwitserland</v>
      </c>
      <c r="AA77" s="478" t="str">
        <f ca="1">IF(LEN(AA73)&gt;=2,VLOOKUP(LEFT(AA73,2),Voorblad!$X$67:$Y$98,2),"")&amp;IF(LEN(AA73)&gt;=4," / "&amp;VLOOKUP(RIGHT(LEFT(AA73,4),2),Voorblad!$X$67:$Y$98,2),"")&amp;IF(LEN(AA73)&gt;=6," / "&amp;VLOOKUP(RIGHT(LEFT(AA73,6),2),Voorblad!$X$67:$Y$98,2),"")&amp;IF(LEN(AA73)&gt;=8," / "&amp;VLOOKUP(RIGHT(LEFT(AA73,8),2),Voorblad!$X$67:$Y$98,2),"")</f>
        <v>Italië</v>
      </c>
      <c r="AB77" s="478" t="str">
        <f ca="1">IF(LEN(AB73)&gt;=2,VLOOKUP(LEFT(AB73,2),Voorblad!$X$67:$Y$98,2),"")&amp;IF(LEN(AB73)&gt;=4," / "&amp;VLOOKUP(RIGHT(LEFT(AB73,4),2),Voorblad!$X$67:$Y$98,2),"")&amp;IF(LEN(AB73)&gt;=6," / "&amp;VLOOKUP(RIGHT(LEFT(AB73,6),2),Voorblad!$X$67:$Y$98,2),"")&amp;IF(LEN(AB73)&gt;=8," / "&amp;VLOOKUP(RIGHT(LEFT(AB73,8),2),Voorblad!$X$67:$Y$98,2),"")</f>
        <v>Denemarken</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Oekraïne</v>
      </c>
      <c r="AE77" s="478" t="str">
        <f ca="1">IF(LEN(AE73)&gt;=2,VLOOKUP(LEFT(AE73,2),Voorblad!$X$67:$Y$98,2),"")&amp;IF(LEN(AE73)&gt;=4," / "&amp;VLOOKUP(RIGHT(LEFT(AE73,4),2),Voorblad!$X$67:$Y$98,2),"")&amp;IF(LEN(AE73)&gt;=6," / "&amp;VLOOKUP(RIGHT(LEFT(AE73,6),2),Voorblad!$X$67:$Y$98,2),"")&amp;IF(LEN(AE73)&gt;=8," / "&amp;VLOOKUP(RIGHT(LEFT(AE73,8),2),Voorblad!$X$67:$Y$98,2),"")</f>
        <v>Turkije / Tsjechië</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2203</v>
      </c>
      <c r="Z78" s="478" t="str">
        <f ca="1">IF(LEN(Z74)&gt;=2,VLOOKUP(LEFT(Z74,2),Voorblad!$X$67:$Y$98,2),"")&amp;IF(LEN(Z74)&gt;=4," / "&amp;VLOOKUP(RIGHT(LEFT(Z74,4),2),Voorblad!$X$67:$Y$98,2),"")&amp;IF(LEN(Z74)&gt;=6," / "&amp;VLOOKUP(RIGHT(LEFT(Z74,6),2),Voorblad!$X$67:$Y$98,2),"")&amp;IF(LEN(Z74)&gt;=8," / "&amp;VLOOKUP(RIGHT(LEFT(Z74,8),2),Voorblad!$X$67:$Y$98,2),"")</f>
        <v>Hongarije</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Servië</v>
      </c>
      <c r="AC78" s="478" t="str">
        <f ca="1">IF(LEN(AC74)&gt;=2,VLOOKUP(LEFT(AC74,2),Voorblad!$X$67:$Y$98,2),"")&amp;IF(LEN(AC74)&gt;=4," / "&amp;VLOOKUP(RIGHT(LEFT(AC74,4),2),Voorblad!$X$67:$Y$98,2),"")&amp;IF(LEN(AC74)&gt;=6," / "&amp;VLOOKUP(RIGHT(LEFT(AC74,6),2),Voorblad!$X$67:$Y$98,2),"")&amp;IF(LEN(AC74)&gt;=8," / "&amp;VLOOKUP(RIGHT(LEFT(AC74,8),2),Voorblad!$X$67:$Y$98,2),"")</f>
        <v>Polen / Oostenrijk</v>
      </c>
      <c r="AD78" s="478" t="str">
        <f ca="1">IF(LEN(AD74)&gt;=2,VLOOKUP(LEFT(AD74,2),Voorblad!$X$67:$Y$98,2),"")&amp;IF(LEN(AD74)&gt;=4," / "&amp;VLOOKUP(RIGHT(LEFT(AD74,4),2),Voorblad!$X$67:$Y$98,2),"")&amp;IF(LEN(AD74)&gt;=6," / "&amp;VLOOKUP(RIGHT(LEFT(AD74,6),2),Voorblad!$X$67:$Y$98,2),"")&amp;IF(LEN(AD74)&gt;=8," / "&amp;VLOOKUP(RIGHT(LEFT(AD74,8),2),Voorblad!$X$67:$Y$98,2),"")</f>
        <v>Slowakije</v>
      </c>
      <c r="AE78" s="478" t="str">
        <f ca="1">IF(LEN(AE74)&gt;=2,VLOOKUP(LEFT(AE74,2),Voorblad!$X$67:$Y$98,2),"")&amp;IF(LEN(AE74)&gt;=4," / "&amp;VLOOKUP(RIGHT(LEFT(AE74,4),2),Voorblad!$X$67:$Y$98,2),"")&amp;IF(LEN(AE74)&gt;=6," / "&amp;VLOOKUP(RIGHT(LEFT(AE74,6),2),Voorblad!$X$67:$Y$98,2),"")&amp;IF(LEN(AE74)&gt;=8," / "&amp;VLOOKUP(RIGHT(LEFT(AE74,8),2),Voorblad!$X$67:$Y$98,2),"")</f>
        <v>Turkije / 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2204</v>
      </c>
      <c r="Z79" s="478" t="str">
        <f ca="1">IF(LEN(Z75)&gt;=2,VLOOKUP(LEFT(Z75,2),Voorblad!$X$67:$Y$98,2),"")&amp;IF(LEN(Z75)&gt;=4," / "&amp;VLOOKUP(RIGHT(LEFT(Z75,4),2),Voorblad!$X$67:$Y$98,2),"")&amp;IF(LEN(Z75)&gt;=6," / "&amp;VLOOKUP(RIGHT(LEFT(Z75,6),2),Voorblad!$X$67:$Y$98,2),"")&amp;IF(LEN(Z75)&gt;=8," / "&amp;VLOOKUP(RIGHT(LEFT(Z75,8),2),Voorblad!$X$67:$Y$98,2),"")</f>
        <v>Schotland</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v>
      </c>
      <c r="AC79" s="478" t="str">
        <f ca="1">IF(LEN(AC75)&gt;=2,VLOOKUP(LEFT(AC75,2),Voorblad!$X$67:$Y$98,2),"")&amp;IF(LEN(AC75)&gt;=4," / "&amp;VLOOKUP(RIGHT(LEFT(AC75,4),2),Voorblad!$X$67:$Y$98,2),"")&amp;IF(LEN(AC75)&gt;=6," / "&amp;VLOOKUP(RIGHT(LEFT(AC75,6),2),Voorblad!$X$67:$Y$98,2),"")&amp;IF(LEN(AC75)&gt;=8," / "&amp;VLOOKUP(RIGHT(LEFT(AC75,8),2),Voorblad!$X$67:$Y$98,2),"")</f>
        <v>Polen / Oostenrijk</v>
      </c>
      <c r="AD79" s="478" t="str">
        <f ca="1">IF(LEN(AD75)&gt;=2,VLOOKUP(LEFT(AD75,2),Voorblad!$X$67:$Y$98,2),"")&amp;IF(LEN(AD75)&gt;=4," / "&amp;VLOOKUP(RIGHT(LEFT(AD75,4),2),Voorblad!$X$67:$Y$98,2),"")&amp;IF(LEN(AD75)&gt;=6," / "&amp;VLOOKUP(RIGHT(LEFT(AD75,6),2),Voorblad!$X$67:$Y$98,2),"")&amp;IF(LEN(AD75)&gt;=8," / "&amp;VLOOKUP(RIGHT(LEFT(AD75,8),2),Voorblad!$X$67:$Y$98,2),"")</f>
        <v>Roemenië</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2170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10" t="s">
        <v>2205</v>
      </c>
      <c r="Z81" s="1110"/>
      <c r="AA81" s="75"/>
      <c r="AB81" s="75"/>
      <c r="AC81" s="75"/>
      <c r="AD81" s="75"/>
      <c r="AE81" s="89"/>
      <c r="AF81" s="89"/>
      <c r="AG81" s="89"/>
      <c r="AH81" s="1149" t="s">
        <v>2206</v>
      </c>
      <c r="AI81" s="1149"/>
      <c r="AJ81" s="1149"/>
      <c r="AK81" s="1149"/>
      <c r="AL81" s="64"/>
      <c r="AM81" s="64"/>
      <c r="AN81" s="64"/>
      <c r="AO81" s="64"/>
      <c r="AP81" s="64"/>
      <c r="AQ81" s="64"/>
      <c r="AR81" s="64"/>
      <c r="AS81" s="232"/>
      <c r="AT81" s="232"/>
      <c r="AU81" s="232"/>
      <c r="AV81" s="232"/>
      <c r="AW81" s="232"/>
      <c r="AX81" s="232"/>
      <c r="AY81" s="232"/>
      <c r="AZ81" s="232"/>
      <c r="BA81" s="232"/>
    </row>
    <row r="82" spans="3:53" ht="15" customHeight="1" x14ac:dyDescent="0.25">
      <c r="Y82" s="1110"/>
      <c r="Z82" s="1110"/>
      <c r="AA82" s="75"/>
      <c r="AB82" s="75"/>
      <c r="AC82" s="75"/>
      <c r="AD82" s="75"/>
      <c r="AE82" s="89"/>
      <c r="AF82" s="89"/>
      <c r="AG82" s="89"/>
      <c r="AH82" s="1149"/>
      <c r="AI82" s="1149"/>
      <c r="AJ82" s="1149"/>
      <c r="AK82" s="1149"/>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2207</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2208</v>
      </c>
      <c r="AA84" s="510" t="str">
        <f>TRIM(P6)</f>
        <v>c.schalks@bisbee.nl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2209</v>
      </c>
      <c r="AA85" s="198" t="s">
        <v>2210</v>
      </c>
      <c r="AB85" s="198" t="s">
        <v>2211</v>
      </c>
      <c r="AC85" s="198" t="s">
        <v>2212</v>
      </c>
      <c r="AD85" s="198" t="s">
        <v>2213</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2214</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533</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2215</v>
      </c>
      <c r="AA87" s="198">
        <f>IF(LEN(AA84)&lt;10,LEN(AA84)&amp;"#",LEN(AA84))</f>
        <v>19</v>
      </c>
      <c r="AB87" s="198"/>
      <c r="AC87" s="513">
        <f>IF(AC86="GOED",SEARCH("@",$AA$84),"nvt")</f>
        <v>10</v>
      </c>
      <c r="AD87" s="513" t="str">
        <f>IF(AC87="nvt","nvt",RIGHT(AA84,LEN(AA84)-AC87))</f>
        <v>bisbee.nl</v>
      </c>
      <c r="AE87" s="89" t="s">
        <v>533</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2216</v>
      </c>
      <c r="AA88" s="1111" t="str">
        <f>"|"&amp;AA84&amp;AA87</f>
        <v>|c.schalks@bisbee.nl19</v>
      </c>
      <c r="AB88" s="1112"/>
      <c r="AC88" s="1112"/>
      <c r="AD88" s="1112"/>
      <c r="AE88" s="1113"/>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2217</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63" t="s">
        <v>2218</v>
      </c>
      <c r="AB2" s="1163"/>
      <c r="AC2" s="1163"/>
      <c r="AD2" s="1164" t="s">
        <v>2219</v>
      </c>
      <c r="AE2" s="1164"/>
      <c r="AF2" s="1164"/>
      <c r="AG2" s="1164"/>
      <c r="AH2" s="1164"/>
      <c r="AI2" s="1164"/>
      <c r="AJ2" s="1162" t="s">
        <v>2220</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2185</v>
      </c>
      <c r="U3" s="332"/>
      <c r="V3" s="332"/>
      <c r="W3" s="332"/>
      <c r="X3" s="332"/>
      <c r="Y3" s="109">
        <f>Reglement!Q81</f>
        <v>1</v>
      </c>
      <c r="Z3" s="332"/>
      <c r="AA3" s="1163"/>
      <c r="AB3" s="1163"/>
      <c r="AC3" s="1163"/>
      <c r="AD3" s="1164"/>
      <c r="AE3" s="1164"/>
      <c r="AF3" s="1164"/>
      <c r="AG3" s="1164"/>
      <c r="AH3" s="1164"/>
      <c r="AI3" s="1164"/>
      <c r="AJ3" s="1162"/>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89" t="s">
        <v>2221</v>
      </c>
      <c r="T4" s="1189"/>
      <c r="U4" s="1189"/>
      <c r="V4" s="1189"/>
      <c r="W4" s="586"/>
      <c r="X4" s="89"/>
      <c r="Y4" s="89"/>
      <c r="Z4" s="89"/>
      <c r="AA4" s="266"/>
      <c r="AB4" s="266"/>
      <c r="AC4" s="266"/>
      <c r="AD4" s="143"/>
      <c r="AE4" s="143"/>
      <c r="AF4" s="143"/>
      <c r="AG4" s="143"/>
      <c r="AH4" s="143"/>
      <c r="AI4" s="143"/>
      <c r="AJ4" s="1162"/>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89"/>
      <c r="T5" s="1189"/>
      <c r="U5" s="1189"/>
      <c r="V5" s="1189"/>
      <c r="W5" s="586"/>
      <c r="X5" s="833" t="s">
        <v>2222</v>
      </c>
      <c r="Y5" s="834" t="str">
        <f ca="1">IF(AND(Y18&lt;&gt;1,Y19="GOED"),LOOKUP(Y18,S16:S19,V16:V19),"")</f>
        <v>A4</v>
      </c>
      <c r="Z5" s="834" t="str">
        <f ca="1">IF(AND(Z18&lt;&gt;1,Z19="GOED"),LOOKUP(Z18,S21:S24,V21:V24),"")</f>
        <v>B3</v>
      </c>
      <c r="AA5" s="266" t="s">
        <v>1948</v>
      </c>
      <c r="AB5" s="269"/>
      <c r="AC5" s="266"/>
      <c r="AD5" s="1167" t="s">
        <v>2223</v>
      </c>
      <c r="AE5" s="1167"/>
      <c r="AF5" s="1167"/>
      <c r="AG5" s="1167"/>
      <c r="AH5" s="1167"/>
      <c r="AI5" s="1167"/>
      <c r="AJ5" s="1162"/>
    </row>
    <row r="6" spans="1:43" ht="15" customHeight="1" x14ac:dyDescent="0.25">
      <c r="B6" s="17"/>
      <c r="C6" s="947"/>
      <c r="D6" s="16"/>
      <c r="E6" s="16"/>
      <c r="F6" s="16"/>
      <c r="G6" s="16"/>
      <c r="H6" s="16"/>
      <c r="I6" s="16"/>
      <c r="J6" s="16"/>
      <c r="K6" s="16"/>
      <c r="L6" s="16"/>
      <c r="M6" s="16"/>
      <c r="N6" s="16"/>
      <c r="O6" s="16"/>
      <c r="P6" s="16"/>
      <c r="Q6" s="948"/>
      <c r="R6" s="17"/>
      <c r="S6" s="1189"/>
      <c r="T6" s="1189"/>
      <c r="U6" s="1189"/>
      <c r="V6" s="1189"/>
      <c r="W6" s="586"/>
      <c r="X6" s="833" t="str">
        <f>"wedstrijd "&amp;RIGHT(X5,2)*1-1</f>
        <v>wedstrijd 37</v>
      </c>
      <c r="Y6" s="834" t="str">
        <f ca="1">IF(AND(Y16&lt;&gt;1,Y17="GOED"),LOOKUP(Y16,S16:S19,V16:V19),"")</f>
        <v>A1</v>
      </c>
      <c r="Z6" s="834" t="str">
        <f ca="1">IF(AND(Y28&lt;&gt;1,Y29="GOED"),LOOKUP(Y28,S26:S29,V26:V29),"")</f>
        <v>C2</v>
      </c>
      <c r="AA6" s="266" t="s">
        <v>2224</v>
      </c>
      <c r="AB6" s="269" t="s">
        <v>2225</v>
      </c>
      <c r="AC6" s="266"/>
      <c r="AD6" s="143"/>
      <c r="AE6" s="143" t="s">
        <v>186</v>
      </c>
      <c r="AF6" s="143" t="str">
        <f>IF($AC$7=1,IF(COUNTIF(Groepswedstrijden!$Y$25:$Z$30,"GOED")=12,"JA","NEE"),IF($AC$11=1,IF(COUNTIF(#REF!,"GOED")=6,"JA","NEE"),"n.v.t."))</f>
        <v>JA</v>
      </c>
      <c r="AG6" s="143"/>
      <c r="AH6" s="143" t="str">
        <f>IF($AC$7=1,IF(COUNTIF(Groepswedstrijden!$AB$25:$AC$30,"GOED")=12,"JA","NEE"),IF($AC$11=1,IF(COUNTIF(#REF!,"GOED")=6,"JA","NEE"),"n.v.t."))</f>
        <v>JA</v>
      </c>
      <c r="AI6" s="143" t="s">
        <v>200</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89"/>
      <c r="T7" s="1189"/>
      <c r="U7" s="1189"/>
      <c r="V7" s="1189"/>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D3E2F4</v>
      </c>
      <c r="AA7" s="266" t="s">
        <v>2226</v>
      </c>
      <c r="AB7" s="268" t="str">
        <f>Groepswedstrijden!V72</f>
        <v>©2024 Eric de Jong v24.00dh</v>
      </c>
      <c r="AC7" s="266">
        <f>IF(TYPE(AB7)=2,1,0)</f>
        <v>1</v>
      </c>
      <c r="AD7" s="143"/>
      <c r="AE7" s="143" t="s">
        <v>216</v>
      </c>
      <c r="AF7" s="143" t="str">
        <f>IF($AC$7=1,IF(COUNTIF(Groepswedstrijden!$Y$35:$Z$40,"GOED")=12,"JA","NEE"),IF($AC$11=1,IF(COUNTIF(#REF!,"GOED")=6,"JA","NEE"),"n.v.t."))</f>
        <v>JA</v>
      </c>
      <c r="AG7" s="143"/>
      <c r="AH7" s="143" t="str">
        <f>IF($AC$7=1,IF(COUNTIF(Groepswedstrijden!$AB$35:$AC$40,"GOED")=12,"JA","NEE"),IF($AC$11=1,IF(COUNTIF(#REF!,"GOED")=6,"JA","NEE"),"n.v.t."))</f>
        <v>JA</v>
      </c>
      <c r="AI7" s="143" t="s">
        <v>233</v>
      </c>
      <c r="AJ7" s="328"/>
    </row>
    <row r="8" spans="1:43" ht="15" customHeight="1" x14ac:dyDescent="0.25">
      <c r="B8" s="17"/>
      <c r="C8" s="949"/>
      <c r="D8" s="17"/>
      <c r="E8" s="17"/>
      <c r="F8" s="17"/>
      <c r="G8" s="17"/>
      <c r="H8" s="17"/>
      <c r="I8" s="17"/>
      <c r="J8" s="17"/>
      <c r="K8" s="17"/>
      <c r="L8" s="17"/>
      <c r="M8" s="17"/>
      <c r="N8" s="17"/>
      <c r="O8" s="17"/>
      <c r="P8" s="17"/>
      <c r="Q8" s="60"/>
      <c r="R8" s="17"/>
      <c r="S8" s="1189"/>
      <c r="T8" s="1189"/>
      <c r="U8" s="1189"/>
      <c r="V8" s="1189"/>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A3D3E2F4</v>
      </c>
      <c r="AA8" s="266" t="s">
        <v>2227</v>
      </c>
      <c r="AB8" s="266"/>
      <c r="AC8" s="266"/>
      <c r="AD8" s="143"/>
      <c r="AE8" s="143" t="s">
        <v>251</v>
      </c>
      <c r="AF8" s="143" t="str">
        <f>IF($AC$7=1,IF(COUNTIF(Groepswedstrijden!$Y$45:$Z$50,"GOED")=12,"JA","NEE"),IF($AC$11=1,IF(COUNTIF(#REF!,"GOED")=6,"JA","NEE"),"n.v.t."))</f>
        <v>JA</v>
      </c>
      <c r="AG8" s="143"/>
      <c r="AH8" s="143" t="str">
        <f>IF($AC$7=1,IF(COUNTIF(Groepswedstrijden!$AB$45:$AC$50,"GOED")=12,"JA","NEE"),IF($AC$11=1,IF(COUNTIF(#REF!,"GOED")=6,"JA","NEE"),"n.v.t."))</f>
        <v>JA</v>
      </c>
      <c r="AI8" s="143" t="s">
        <v>268</v>
      </c>
      <c r="AJ8" s="223"/>
    </row>
    <row r="9" spans="1:43" ht="15" customHeight="1" x14ac:dyDescent="0.25">
      <c r="B9" s="39"/>
      <c r="C9" s="954"/>
      <c r="D9" s="1150" t="s">
        <v>1075</v>
      </c>
      <c r="E9" s="1151"/>
      <c r="F9" s="740" t="s">
        <v>2228</v>
      </c>
      <c r="G9" s="1152" t="str">
        <f ca="1">Taal04!B57</f>
        <v>Om u op weg te helpen kan op basis van voorgaande voorspellingen, mits volledig ingevuld, u een suggestie gegeven worden. U bent niet verplicht deze suggestie op te volgen.</v>
      </c>
      <c r="H9" s="1152"/>
      <c r="I9" s="1152"/>
      <c r="J9" s="1152"/>
      <c r="K9" s="1152"/>
      <c r="L9" s="1152"/>
      <c r="M9" s="1152"/>
      <c r="N9" s="1152"/>
      <c r="O9" s="1152"/>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E4</v>
      </c>
      <c r="AA9" s="266" t="s">
        <v>2229</v>
      </c>
      <c r="AB9" s="266"/>
      <c r="AC9" s="266"/>
      <c r="AD9" s="143"/>
      <c r="AE9" s="481" t="s">
        <v>284</v>
      </c>
      <c r="AF9" s="481" t="str">
        <f>IF($AC$7=1,IF(COUNTIF(Groepswedstrijden!$Y$55:$Z$60,"GOED")=12,"JA","NEE"),IF($AC$11=1,IF(COUNTIF(#REF!,"GOED")=6,"JA","NEE"),"n.v.t."))</f>
        <v>NEE</v>
      </c>
      <c r="AG9" s="481"/>
      <c r="AH9" s="481" t="str">
        <f ca="1">IF($AC$7=1,IF(COUNTIF(Groepswedstrijden!$AB$52:$AC$60,"GOED")=12,"JA","NEE"),IF($AC$11=1,IF(COUNTIF(#REF!,"GOED")=6,"JA","NEE"),"n.v.t."))</f>
        <v>NEE</v>
      </c>
      <c r="AI9" s="481" t="s">
        <v>292</v>
      </c>
      <c r="AJ9" s="223"/>
      <c r="AL9" s="1168" t="str">
        <f ca="1">UPPER(Taal04!B58)</f>
        <v>EINDSTAND IN DE GROEP OP BASIS VAN EERDERE VOORSPELLINGEN</v>
      </c>
      <c r="AM9" s="1169"/>
      <c r="AN9" s="1170"/>
      <c r="AO9" s="1154" t="str">
        <f ca="1">Taal04!$B$59</f>
        <v>Punten</v>
      </c>
      <c r="AP9" s="1154" t="str">
        <f ca="1">Taal04!$B$60</f>
        <v>Doelpunten voor</v>
      </c>
      <c r="AQ9" s="1154" t="str">
        <f ca="1">Taal04!$B$61</f>
        <v>Doelpunten tegen</v>
      </c>
    </row>
    <row r="10" spans="1:43" ht="15" customHeight="1" x14ac:dyDescent="0.25">
      <c r="B10" s="39"/>
      <c r="C10" s="954"/>
      <c r="D10" s="17"/>
      <c r="E10" s="17"/>
      <c r="F10" s="17"/>
      <c r="G10" s="1152"/>
      <c r="H10" s="1152"/>
      <c r="I10" s="1152"/>
      <c r="J10" s="1152"/>
      <c r="K10" s="1152"/>
      <c r="L10" s="1152"/>
      <c r="M10" s="1152"/>
      <c r="N10" s="1152"/>
      <c r="O10" s="1152"/>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A3B2C3</v>
      </c>
      <c r="AA10" s="266" t="s">
        <v>2230</v>
      </c>
      <c r="AB10" s="269" t="s">
        <v>2231</v>
      </c>
      <c r="AC10" s="266"/>
      <c r="AD10" s="143"/>
      <c r="AE10" s="143"/>
      <c r="AF10" s="143"/>
      <c r="AG10" s="143"/>
      <c r="AH10" s="143"/>
      <c r="AI10" s="143"/>
      <c r="AJ10" s="223"/>
      <c r="AL10" s="1171"/>
      <c r="AM10" s="1172"/>
      <c r="AN10" s="1173"/>
      <c r="AO10" s="1155"/>
      <c r="AP10" s="1155"/>
      <c r="AQ10" s="1155"/>
    </row>
    <row r="11" spans="1:43" ht="15" customHeight="1" x14ac:dyDescent="0.25">
      <c r="B11" s="39"/>
      <c r="C11" s="954"/>
      <c r="D11" s="17"/>
      <c r="E11" s="17"/>
      <c r="F11" s="17"/>
      <c r="G11" s="1152"/>
      <c r="H11" s="1152"/>
      <c r="I11" s="1152"/>
      <c r="J11" s="1152"/>
      <c r="K11" s="1152"/>
      <c r="L11" s="1152"/>
      <c r="M11" s="1152"/>
      <c r="N11" s="1152"/>
      <c r="O11" s="1152"/>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A3B2C3D3</v>
      </c>
      <c r="AA11" s="266" t="s">
        <v>2232</v>
      </c>
      <c r="AB11" s="268" t="e">
        <f>#REF!</f>
        <v>#REF!</v>
      </c>
      <c r="AC11" s="266">
        <f>IF(TYPE(AB11)=2,1,0)</f>
        <v>0</v>
      </c>
      <c r="AD11" s="1166" t="s">
        <v>2157</v>
      </c>
      <c r="AE11" s="345"/>
      <c r="AF11" s="1166" t="s">
        <v>578</v>
      </c>
      <c r="AG11" s="1166" t="s">
        <v>2233</v>
      </c>
      <c r="AH11" s="1166" t="s">
        <v>2234</v>
      </c>
      <c r="AI11" s="1166" t="s">
        <v>2156</v>
      </c>
      <c r="AJ11" s="1165" t="s">
        <v>2235</v>
      </c>
      <c r="AL11" s="1171"/>
      <c r="AM11" s="1172"/>
      <c r="AN11" s="1173"/>
      <c r="AO11" s="1155"/>
      <c r="AP11" s="1155"/>
      <c r="AQ11" s="1155"/>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2236</v>
      </c>
      <c r="U12" s="75"/>
      <c r="V12" s="75"/>
      <c r="W12" s="75"/>
      <c r="X12" s="833" t="str">
        <f>"wedstrijd "&amp;RIGHT(X11,2)*1+1</f>
        <v>wedstrijd 44</v>
      </c>
      <c r="Y12" s="834" t="str">
        <f ca="1">IF(AND(Z26&lt;&gt;1,Z27="GOED"),LOOKUP(Z26,S31:S34,V31:V34),"")</f>
        <v>D4</v>
      </c>
      <c r="Z12" s="834" t="str">
        <f ca="1">IF(AND(Z38&lt;&gt;1,Z39="GOED"),LOOKUP(Z38,S41:S44,V41:V44),"")</f>
        <v>F1</v>
      </c>
      <c r="AA12" s="266" t="s">
        <v>2237</v>
      </c>
      <c r="AB12" s="266"/>
      <c r="AC12" s="266"/>
      <c r="AD12" s="1166"/>
      <c r="AE12" s="345"/>
      <c r="AF12" s="1166"/>
      <c r="AG12" s="1166"/>
      <c r="AH12" s="1166"/>
      <c r="AI12" s="1166"/>
      <c r="AJ12" s="1165"/>
      <c r="AL12" s="1171"/>
      <c r="AM12" s="1172"/>
      <c r="AN12" s="1173"/>
      <c r="AO12" s="1155"/>
      <c r="AP12" s="1155"/>
      <c r="AQ12" s="1155"/>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6"/>
      <c r="AE13" s="345"/>
      <c r="AF13" s="1166"/>
      <c r="AG13" s="1166"/>
      <c r="AH13" s="1166"/>
      <c r="AI13" s="1166"/>
      <c r="AJ13" s="1165"/>
      <c r="AL13" s="1171"/>
      <c r="AM13" s="1172"/>
      <c r="AN13" s="1173"/>
      <c r="AO13" s="1155"/>
      <c r="AP13" s="1155"/>
      <c r="AQ13" s="1155"/>
    </row>
    <row r="14" spans="1:43" ht="15" customHeight="1" x14ac:dyDescent="0.25">
      <c r="B14" s="39"/>
      <c r="C14" s="954"/>
      <c r="D14" s="1157" t="str">
        <f ca="1">Taal04!$B$26&amp;" A"</f>
        <v>Groep A</v>
      </c>
      <c r="E14" s="1157"/>
      <c r="F14" s="17"/>
      <c r="G14" s="715"/>
      <c r="H14" s="715"/>
      <c r="I14" s="715"/>
      <c r="J14" s="715"/>
      <c r="K14" s="1157" t="str">
        <f ca="1">Taal04!$B$26&amp;" B"</f>
        <v>Groep B</v>
      </c>
      <c r="L14" s="1157"/>
      <c r="M14" s="715"/>
      <c r="N14" s="715"/>
      <c r="O14" s="715"/>
      <c r="P14" s="715"/>
      <c r="Q14" s="60"/>
      <c r="R14" s="39"/>
      <c r="S14" s="144"/>
      <c r="T14" s="144"/>
      <c r="U14" s="144"/>
      <c r="V14" s="144"/>
      <c r="W14" s="144"/>
      <c r="X14" s="144"/>
      <c r="Y14" s="194"/>
      <c r="Z14" s="194"/>
      <c r="AA14" s="64"/>
      <c r="AB14" s="264" t="s">
        <v>2238</v>
      </c>
      <c r="AC14" s="263" t="s">
        <v>1036</v>
      </c>
      <c r="AD14" s="1166"/>
      <c r="AE14" s="345"/>
      <c r="AF14" s="1166"/>
      <c r="AG14" s="1166"/>
      <c r="AH14" s="1166"/>
      <c r="AI14" s="1166"/>
      <c r="AJ14" s="1165"/>
      <c r="AL14" s="1174"/>
      <c r="AM14" s="1175"/>
      <c r="AN14" s="1176"/>
      <c r="AO14" s="1156"/>
      <c r="AP14" s="1156"/>
      <c r="AQ14" s="1156"/>
    </row>
    <row r="15" spans="1:43" ht="15" customHeight="1" x14ac:dyDescent="0.25">
      <c r="B15" s="39"/>
      <c r="C15" s="954"/>
      <c r="D15" s="1158"/>
      <c r="E15" s="1158"/>
      <c r="F15" s="17"/>
      <c r="G15" s="17"/>
      <c r="H15" s="17"/>
      <c r="I15" s="17"/>
      <c r="J15" s="17"/>
      <c r="K15" s="1158"/>
      <c r="L15" s="1158"/>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DE.CH.HU.SC|</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2239</v>
      </c>
      <c r="E16" s="820" t="s">
        <v>10</v>
      </c>
      <c r="F16" s="587" t="str">
        <f>IF(Y17="LEEG","▼","")</f>
        <v/>
      </c>
      <c r="G16" s="17"/>
      <c r="H16" s="741"/>
      <c r="I16" s="741"/>
      <c r="J16" s="17"/>
      <c r="K16" s="335" t="s">
        <v>2239</v>
      </c>
      <c r="L16" s="821" t="s">
        <v>204</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2240</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7</v>
      </c>
      <c r="AH16" s="143">
        <f ca="1">IF($AC$7=1,VLOOKUP($V16,Groepswedstrijden!$AH$12:$BA$78,11,FALSE),IF($AC$11=1,VLOOKUP($V16,#REF!,11,FALSE),""))</f>
        <v>1</v>
      </c>
      <c r="AI16" s="219">
        <f ca="1">IF($AC$7=1,VLOOKUP($V16,Groepswedstrijden!$AH$12:$BA$78,19,FALSE),IF($AC$11=1,VLOOKUP($V16,#REF!,19,FALSE),""))</f>
        <v>95060703500001</v>
      </c>
      <c r="AJ16" s="224">
        <f ca="1">FLOOR(IF($AD16=1,AI16,IF($AD17=1,AI17,IF($AD18=1,AI18,AI19)))/10,1)</f>
        <v>9506070350000</v>
      </c>
      <c r="AL16" s="1159" t="str">
        <f ca="1">AE15</f>
        <v>GROEP A</v>
      </c>
      <c r="AM16" s="336" t="s">
        <v>2241</v>
      </c>
      <c r="AN16" s="337" t="str">
        <f ca="1">IF($AD16=1,AE16,IF($AD17=1,AE17,IF($AD18=1,AE18,AE19)))</f>
        <v>Duitsland</v>
      </c>
      <c r="AO16" s="338">
        <f ca="1">IF($AD16=1,AF16,IF($AD17=1,AF17,IF($AD18=1,AF18,AF19)))</f>
        <v>9</v>
      </c>
      <c r="AP16" s="338">
        <f ca="1">IF($AD16=1,AG16,IF($AD17=1,AG17,IF($AD18=1,AG18,AG19)))</f>
        <v>7</v>
      </c>
      <c r="AQ16" s="338">
        <f ca="1">IF($AD16=1,AH16,IF($AD17=1,AH17,IF($AD18=1,AH18,AH19)))</f>
        <v>1</v>
      </c>
    </row>
    <row r="17" spans="2:43" s="166" customFormat="1" ht="20.100000000000001" customHeight="1" x14ac:dyDescent="0.25">
      <c r="B17" s="17"/>
      <c r="C17" s="949"/>
      <c r="D17" s="1153" t="str">
        <f ca="1">IF($S$12=1,IF($AC$7=1,AB16,IF($AC$11=1,AC16,"")),IF(AND($S$12=2,OR($Y$17="LEEG",$Y$17="ONGELDIG")),IF($AC$7=1,AB16,IF($AC$11=1,AC16,"")),""))</f>
        <v>Duitsland</v>
      </c>
      <c r="E17" s="1153"/>
      <c r="F17" s="1153"/>
      <c r="G17" s="1153"/>
      <c r="H17" s="1153"/>
      <c r="I17" s="1153"/>
      <c r="J17" s="17"/>
      <c r="K17" s="1153" t="str">
        <f ca="1">IF($S$12=1,IF($AC$7=1,AB21,IF($AC$11=1,AC21,"")),IF(AND($S$12=2,OR($Z$17="LEEG",$Z$17="ONGELDIG")),IF($AC$7=1,AB21,IF($AC$11=1,AC21,"")),""))</f>
        <v>Spanje</v>
      </c>
      <c r="L17" s="1153"/>
      <c r="M17" s="1153"/>
      <c r="N17" s="1153"/>
      <c r="O17" s="1153"/>
      <c r="P17" s="1153"/>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2242</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Zwitserland</v>
      </c>
      <c r="AC17" s="64" t="e">
        <f>#REF!</f>
        <v>#REF!</v>
      </c>
      <c r="AD17" s="143">
        <f ca="1">IF($AC$7=1,VLOOKUP($V17,Groepswedstrijden!$AH$12:$BA$78,20,FALSE),IF($AC$11=1,VLOOKUP($V17,#REF!,20,FALSE),""))</f>
        <v>4</v>
      </c>
      <c r="AE17" s="186" t="str">
        <f ca="1">IF($AC$7=1,VLOOKUP($V17,Groepswedstrijden!$AH$12:$BA$78,3,FALSE),IF($AC$11=1,VLOOKUP($V17,#REF!,3,FALSE),""))</f>
        <v>Schotland</v>
      </c>
      <c r="AF17" s="143">
        <f ca="1">IF($AC$7=1,VLOOKUP($V17,Groepswedstrijden!$AH$12:$BA$78,9,FALSE),IF($AC$11=1,VLOOKUP($V17,#REF!,9,FALSE),""))</f>
        <v>0</v>
      </c>
      <c r="AG17" s="143">
        <f ca="1">IF($AC$7=1,VLOOKUP($V17,Groepswedstrijden!$AH$12:$BA$78,10,FALSE),IF($AC$11=1,VLOOKUP($V17,#REF!,10,FALSE),""))</f>
        <v>1</v>
      </c>
      <c r="AH17" s="143">
        <f ca="1">IF($AC$7=1,VLOOKUP($V17,Groepswedstrijden!$AH$12:$BA$78,11,FALSE),IF($AC$11=1,VLOOKUP($V17,#REF!,11,FALSE),""))</f>
        <v>6</v>
      </c>
      <c r="AI17" s="219">
        <f ca="1">IF($AC$7=1,VLOOKUP($V17,Groepswedstrijden!$AH$12:$BA$78,19,FALSE),IF($AC$11=1,VLOOKUP($V17,#REF!,19,FALSE),""))</f>
        <v>4950103500003</v>
      </c>
      <c r="AJ17" s="224">
        <f ca="1">FLOOR(IF($AD16=2,AI16,IF($AD17=2,AI17,IF($AD18=2,AI18,AI19)))/10,1)</f>
        <v>6501050350000</v>
      </c>
      <c r="AL17" s="1160"/>
      <c r="AM17" s="339" t="str">
        <f ca="1">IF(AJ17=AJ16,"","2.")</f>
        <v>2.</v>
      </c>
      <c r="AN17" s="340" t="str">
        <f ca="1">IF($AD16=2,AE16,IF($AD17=2,AE17,IF($AD18=2,AE18,AE19)))</f>
        <v>Zwitserland</v>
      </c>
      <c r="AO17" s="341">
        <f ca="1">IF($AD16=2,AF16,IF($AD17=2,AF17,IF($AD18=2,AF18,AF19)))</f>
        <v>6</v>
      </c>
      <c r="AP17" s="341">
        <f ca="1">IF($AD16=2,AG16,IF($AD17=2,AG17,IF($AD18=2,AG18,AG19)))</f>
        <v>5</v>
      </c>
      <c r="AQ17" s="341">
        <f ca="1">IF($AD16=2,AH16,IF($AD17=2,AH17,IF($AD18=2,AH18,AH19)))</f>
        <v>4</v>
      </c>
    </row>
    <row r="18" spans="2:43" s="166" customFormat="1" ht="15" customHeight="1" x14ac:dyDescent="0.25">
      <c r="B18" s="17"/>
      <c r="C18" s="949"/>
      <c r="D18" s="335" t="s">
        <v>2243</v>
      </c>
      <c r="E18" s="820" t="s">
        <v>197</v>
      </c>
      <c r="F18" s="587" t="str">
        <f>IF(Y19="LEEG","▼","")</f>
        <v/>
      </c>
      <c r="G18" s="17"/>
      <c r="H18" s="17"/>
      <c r="I18" s="17"/>
      <c r="J18" s="17"/>
      <c r="K18" s="335" t="s">
        <v>2243</v>
      </c>
      <c r="L18" s="821" t="s">
        <v>210</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2244</v>
      </c>
      <c r="Y18" s="144">
        <f>IF(ISBLANK(E18),1,IF(SUBSTITUTE(W16,E18,"#")&lt;&gt;W16,2,IF(SUBSTITUTE(W17,E18,"#")&lt;&gt;W17,3,IF(SUBSTITUTE(W18,E18,"#")&lt;&gt;W18,4,IF(SUBSTITUTE(W19,E18,"#")&lt;&gt;W19,5,6)))))</f>
        <v>5</v>
      </c>
      <c r="Z18" s="144">
        <f>IF(ISBLANK(L18),1,IF(SUBSTITUTE(W21,L18,"#")&lt;&gt;W21,2,IF(SUBSTITUTE(W22,L18,"#")&lt;&gt;W22,3,IF(SUBSTITUTE(W23,L18,"#")&lt;&gt;W23,4,IF(SUBSTITUTE(W24,L18,"#")&lt;&gt;W24,5,6)))))</f>
        <v>4</v>
      </c>
      <c r="AA18" s="263" t="str">
        <f ca="1">RIGHT(V18,1)</f>
        <v>3</v>
      </c>
      <c r="AB18" s="265" t="str">
        <f ca="1">Groepswedstrijden!Z78</f>
        <v>Hongarije</v>
      </c>
      <c r="AC18" s="64" t="e">
        <f>#REF!</f>
        <v>#REF!</v>
      </c>
      <c r="AD18" s="143">
        <f ca="1">IF($AC$7=1,VLOOKUP($V18,Groepswedstrijden!$AH$12:$BA$78,20,FALSE),IF($AC$11=1,VLOOKUP($V18,#REF!,20,FALSE),""))</f>
        <v>3</v>
      </c>
      <c r="AE18" s="186" t="str">
        <f ca="1">IF($AC$7=1,VLOOKUP($V18,Groepswedstrijden!$AH$12:$BA$78,3,FALSE),IF($AC$11=1,VLOOKUP($V18,#REF!,3,FALSE),""))</f>
        <v>Hongarije</v>
      </c>
      <c r="AF18" s="143">
        <f ca="1">IF($AC$7=1,VLOOKUP($V18,Groepswedstrijden!$AH$12:$BA$78,9,FALSE),IF($AC$11=1,VLOOKUP($V18,#REF!,9,FALSE),""))</f>
        <v>3</v>
      </c>
      <c r="AG18" s="143">
        <f ca="1">IF($AC$7=1,VLOOKUP($V18,Groepswedstrijden!$AH$12:$BA$78,10,FALSE),IF($AC$11=1,VLOOKUP($V18,#REF!,10,FALSE),""))</f>
        <v>2</v>
      </c>
      <c r="AH18" s="143">
        <f ca="1">IF($AC$7=1,VLOOKUP($V18,Groepswedstrijden!$AH$12:$BA$78,11,FALSE),IF($AC$11=1,VLOOKUP($V18,#REF!,11,FALSE),""))</f>
        <v>4</v>
      </c>
      <c r="AI18" s="219">
        <f ca="1">IF($AC$7=1,VLOOKUP($V18,Groepswedstrijden!$AH$12:$BA$78,19,FALSE),IF($AC$11=1,VLOOKUP($V18,#REF!,19,FALSE),""))</f>
        <v>34980203500002</v>
      </c>
      <c r="AJ18" s="224">
        <f ca="1">FLOOR(IF($AD16=3,AI16,IF($AD17=3,AI17,IF($AD18=3,AI18,AI19)))/10,1)</f>
        <v>3498020350000</v>
      </c>
      <c r="AL18" s="1160"/>
      <c r="AM18" s="339" t="str">
        <f ca="1">IF(AJ18=AJ17,"","3.")</f>
        <v>3.</v>
      </c>
      <c r="AN18" s="340" t="str">
        <f ca="1">IF($AD16=3,AE16,IF($AD17=3,AE17,IF($AD18=3,AE18,AE19)))</f>
        <v>Hongarije</v>
      </c>
      <c r="AO18" s="341">
        <f ca="1">IF($AD16=3,AF16,IF($AD17=3,AF17,IF($AD18=3,AF18,AF19)))</f>
        <v>3</v>
      </c>
      <c r="AP18" s="341">
        <f ca="1">IF($AD16=3,AG16,IF($AD17=3,AG17,IF($AD18=3,AG18,AG19)))</f>
        <v>2</v>
      </c>
      <c r="AQ18" s="341">
        <f ca="1">IF($AD16=3,AH16,IF($AD17=3,AH17,IF($AD18=3,AH18,AH19)))</f>
        <v>4</v>
      </c>
    </row>
    <row r="19" spans="2:43" s="166" customFormat="1" ht="20.100000000000001" customHeight="1" x14ac:dyDescent="0.25">
      <c r="B19" s="17"/>
      <c r="C19" s="949"/>
      <c r="D19" s="1153" t="str">
        <f ca="1">IF($S$12=1,IF($AC$7=1,AB17,IF($AC$11=1,AC17,"")),IF(AND($S$12=2,OR($Y$19="LEEG",$Y$19="ONGELDIG")),IF($AC$7=1,AB17,IF($AC$11=1,AC17,"")),""))</f>
        <v>Zwitserland</v>
      </c>
      <c r="E19" s="1153"/>
      <c r="F19" s="1153"/>
      <c r="G19" s="1153"/>
      <c r="H19" s="1153"/>
      <c r="I19" s="1153"/>
      <c r="J19" s="17"/>
      <c r="K19" s="1153" t="str">
        <f ca="1">IF($S$12=1,IF($AC$7=1,AB22,IF($AC$11=1,AC22,"")),IF(AND($S$12=2,OR($Z$19="LEEG",$Z$19="ONGELDIG")),IF($AC$7=1,AB22,IF($AC$11=1,AC22,"")),""))</f>
        <v>Italië</v>
      </c>
      <c r="L19" s="1153"/>
      <c r="M19" s="1153"/>
      <c r="N19" s="1153"/>
      <c r="O19" s="1153"/>
      <c r="P19" s="1153"/>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2245</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Schotland</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6</v>
      </c>
      <c r="AG19" s="143">
        <f ca="1">IF($AC$7=1,VLOOKUP($V19,Groepswedstrijden!$AH$12:$BA$78,10,FALSE),IF($AC$11=1,VLOOKUP($V19,#REF!,10,FALSE),""))</f>
        <v>5</v>
      </c>
      <c r="AH19" s="143">
        <f ca="1">IF($AC$7=1,VLOOKUP($V19,Groepswedstrijden!$AH$12:$BA$78,11,FALSE),IF($AC$11=1,VLOOKUP($V19,#REF!,11,FALSE),""))</f>
        <v>4</v>
      </c>
      <c r="AI19" s="219">
        <f ca="1">IF($AC$7=1,VLOOKUP($V19,Groepswedstrijden!$AH$12:$BA$78,19,FALSE),IF($AC$11=1,VLOOKUP($V19,#REF!,19,FALSE),""))</f>
        <v>65010503500004</v>
      </c>
      <c r="AJ19" s="224">
        <f ca="1">FLOOR(IF($AD16=4,AI16,IF($AD17=4,AI17,IF($AD18=4,AI18,AI19)))/10,1)</f>
        <v>495010350000</v>
      </c>
      <c r="AL19" s="1161"/>
      <c r="AM19" s="342" t="str">
        <f ca="1">IF(AJ19=AJ18,"","4.")</f>
        <v>4.</v>
      </c>
      <c r="AN19" s="343" t="str">
        <f ca="1">IF($AD16=4,AE16,IF($AD17=4,AE17,IF($AD18=4,AE18,AE19)))</f>
        <v>Schotland</v>
      </c>
      <c r="AO19" s="344">
        <f ca="1">IF($AD16=4,AF16,IF($AD17=4,AF17,IF($AD18=4,AF18,AF19)))</f>
        <v>0</v>
      </c>
      <c r="AP19" s="344">
        <f ca="1">IF($AD16=4,AG16,IF($AD17=4,AG17,IF($AD18=4,AG18,AG19)))</f>
        <v>1</v>
      </c>
      <c r="AQ19" s="344">
        <f ca="1">IF($AD16=4,AH16,IF($AD17=4,AH17,IF($AD18=4,AH18,AH19)))</f>
        <v>6</v>
      </c>
    </row>
    <row r="20" spans="2:43" ht="15" customHeight="1" x14ac:dyDescent="0.25">
      <c r="B20" s="17"/>
      <c r="C20" s="949"/>
      <c r="D20" s="335" t="s">
        <v>2246</v>
      </c>
      <c r="E20" s="820" t="s">
        <v>193</v>
      </c>
      <c r="F20" s="587" t="str">
        <f>IF(Y21="LEEG","▼","")</f>
        <v/>
      </c>
      <c r="G20" s="17"/>
      <c r="H20" s="17"/>
      <c r="I20" s="17"/>
      <c r="J20" s="17"/>
      <c r="K20" s="335" t="s">
        <v>2246</v>
      </c>
      <c r="L20" s="821" t="s">
        <v>207</v>
      </c>
      <c r="M20" s="587" t="str">
        <f>IF(Z21="LEEG","▼","")</f>
        <v/>
      </c>
      <c r="N20" s="17"/>
      <c r="O20" s="17"/>
      <c r="P20" s="17"/>
      <c r="Q20" s="60"/>
      <c r="R20" s="17"/>
      <c r="S20" s="111">
        <v>1</v>
      </c>
      <c r="T20" s="135"/>
      <c r="U20" s="50"/>
      <c r="V20" s="289" t="str">
        <f ca="1">RIGHT(K14,1)</f>
        <v>B</v>
      </c>
      <c r="W20" s="588"/>
      <c r="X20" s="196" t="s">
        <v>2247</v>
      </c>
      <c r="Y20" s="144">
        <f>IF(ISBLANK(E20),1,IF(SUBSTITUTE(W16,E20,"#")&lt;&gt;W16,2,IF(SUBSTITUTE(W17,E20,"#")&lt;&gt;W17,3,IF(SUBSTITUTE(W18,E20,"#")&lt;&gt;W18,4,IF(SUBSTITUTE(W19,E20,"#")&lt;&gt;W19,5,6)))))</f>
        <v>4</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3" t="str">
        <f ca="1">IF($S$12=1,IF($AC$7=1,AB18,IF($AC$11=1,AC18,"")),IF(AND($S$12=2,OR($Y$21="LEEG",$Y$21="ONGELDIG")),IF($AC$7=1,AB18,IF($AC$11=1,AC18,"")),""))</f>
        <v>Hongarije</v>
      </c>
      <c r="E21" s="1153"/>
      <c r="F21" s="1153"/>
      <c r="G21" s="1153"/>
      <c r="H21" s="1153"/>
      <c r="I21" s="1153"/>
      <c r="J21" s="17"/>
      <c r="K21" s="1153" t="str">
        <f ca="1">IF($S$12=1,IF($AC$7=1,AB23,IF($AC$11=1,AC23,"")),IF(AND($S$12=2,OR($Z$21="LEEG",$Z$21="ONGELDIG")),IF($AC$7=1,AB23,IF($AC$11=1,AC23,"")),""))</f>
        <v>Kroatië</v>
      </c>
      <c r="L21" s="1153"/>
      <c r="M21" s="1153"/>
      <c r="N21" s="1153"/>
      <c r="O21" s="1153"/>
      <c r="P21" s="1153"/>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2248</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7</v>
      </c>
      <c r="AG21" s="143">
        <f ca="1">IF($AC$7=1,VLOOKUP($V21,Groepswedstrijden!$AH$12:$BA$78,10,FALSE),IF($AC$11=1,VLOOKUP($V21,#REF!,10,FALSE),""))</f>
        <v>7</v>
      </c>
      <c r="AH21" s="143">
        <f ca="1">IF($AC$7=1,VLOOKUP($V21,Groepswedstrijden!$AH$12:$BA$78,11,FALSE),IF($AC$11=1,VLOOKUP($V21,#REF!,11,FALSE),""))</f>
        <v>1</v>
      </c>
      <c r="AI21" s="219">
        <f ca="1">IF($AC$7=1,VLOOKUP($V21,Groepswedstrijden!$AH$12:$BA$78,19,FALSE),IF($AC$11=1,VLOOKUP($V21,#REF!,19,FALSE),""))</f>
        <v>75060703500004</v>
      </c>
      <c r="AJ21" s="224">
        <f ca="1">FLOOR(IF($AD21=1,AI21,IF($AD22=1,AI22,IF($AD23=1,AI23,AI24)))/10,1)</f>
        <v>7506070350000</v>
      </c>
      <c r="AL21" s="1159" t="str">
        <f ca="1">AE20</f>
        <v>GROEP B</v>
      </c>
      <c r="AM21" s="336" t="s">
        <v>2241</v>
      </c>
      <c r="AN21" s="337" t="str">
        <f ca="1">IF($AD21=1,AE21,IF($AD22=1,AE22,IF($AD23=1,AE23,AE24)))</f>
        <v>Spanje</v>
      </c>
      <c r="AO21" s="338">
        <f ca="1">IF($AD21=1,AF21,IF($AD22=1,AF22,IF($AD23=1,AF23,AF24)))</f>
        <v>7</v>
      </c>
      <c r="AP21" s="338">
        <f ca="1">IF($AD21=1,AG21,IF($AD22=1,AG22,IF($AD23=1,AG23,AG24)))</f>
        <v>7</v>
      </c>
      <c r="AQ21" s="338">
        <f ca="1">IF($AD21=1,AH21,IF($AD22=1,AH22,IF($AD23=1,AH23,AH24)))</f>
        <v>1</v>
      </c>
    </row>
    <row r="22" spans="2:43" ht="15" customHeight="1" x14ac:dyDescent="0.25">
      <c r="B22" s="17"/>
      <c r="C22" s="949"/>
      <c r="D22" s="335" t="s">
        <v>2249</v>
      </c>
      <c r="E22" s="820" t="s">
        <v>190</v>
      </c>
      <c r="F22" s="587" t="str">
        <f>IF(Y23="LEEG","▼","")</f>
        <v/>
      </c>
      <c r="G22" s="17"/>
      <c r="H22" s="17"/>
      <c r="I22" s="17"/>
      <c r="J22" s="17"/>
      <c r="K22" s="335" t="s">
        <v>2249</v>
      </c>
      <c r="L22" s="821" t="s">
        <v>213</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2250</v>
      </c>
      <c r="Y22" s="144">
        <f>IF(ISBLANK(E22),1,IF(SUBSTITUTE(W16,E22,"#")&lt;&gt;W16,2,IF(SUBSTITUTE(W17,E22,"#")&lt;&gt;W17,3,IF(SUBSTITUTE(W18,E22,"#")&lt;&gt;W18,4,IF(SUBSTITUTE(W19,E22,"#")&lt;&gt;W19,5,6)))))</f>
        <v>3</v>
      </c>
      <c r="Z22" s="144">
        <f>IF(ISBLANK(L22),1,IF(SUBSTITUTE(W21,L22,"#")&lt;&gt;W21,2,IF(SUBSTITUTE(W22,L22,"#")&lt;&gt;W22,3,IF(SUBSTITUTE(W23,L22,"#")&lt;&gt;W23,4,IF(SUBSTITUTE(W24,L22,"#")&lt;&gt;W24,5,6)))))</f>
        <v>5</v>
      </c>
      <c r="AA22" s="263" t="str">
        <f ca="1">RIGHT(V22,1)</f>
        <v>2</v>
      </c>
      <c r="AB22" s="265" t="str">
        <f ca="1">Groepswedstrijden!AA77</f>
        <v>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4</v>
      </c>
      <c r="AG22" s="143">
        <f ca="1">IF($AC$7=1,VLOOKUP($V22,Groepswedstrijden!$AH$12:$BA$78,10,FALSE),IF($AC$11=1,VLOOKUP($V22,#REF!,10,FALSE),""))</f>
        <v>3</v>
      </c>
      <c r="AH22" s="143">
        <f ca="1">IF($AC$7=1,VLOOKUP($V22,Groepswedstrijden!$AH$12:$BA$78,11,FALSE),IF($AC$11=1,VLOOKUP($V22,#REF!,11,FALSE),""))</f>
        <v>3</v>
      </c>
      <c r="AI22" s="219">
        <f ca="1">IF($AC$7=1,VLOOKUP($V22,Groepswedstrijden!$AH$12:$BA$78,19,FALSE),IF($AC$11=1,VLOOKUP($V22,#REF!,19,FALSE),""))</f>
        <v>45000303500003</v>
      </c>
      <c r="AJ22" s="224">
        <f ca="1">FLOOR(IF($AD21=2,AI21,IF($AD22=2,AI22,IF($AD23=2,AI23,AI24)))/10,1)</f>
        <v>5503050350000</v>
      </c>
      <c r="AL22" s="1160"/>
      <c r="AM22" s="339" t="str">
        <f ca="1">IF(AJ22=AJ21,"","2.")</f>
        <v>2.</v>
      </c>
      <c r="AN22" s="340" t="str">
        <f ca="1">IF($AD21=2,AE21,IF($AD22=2,AE22,IF($AD23=2,AE23,AE24)))</f>
        <v>Italië</v>
      </c>
      <c r="AO22" s="341">
        <f ca="1">IF($AD21=2,AF21,IF($AD22=2,AF22,IF($AD23=2,AF23,AF24)))</f>
        <v>5</v>
      </c>
      <c r="AP22" s="341">
        <f ca="1">IF($AD21=2,AG21,IF($AD22=2,AG22,IF($AD23=2,AG23,AG24)))</f>
        <v>5</v>
      </c>
      <c r="AQ22" s="341">
        <f ca="1">IF($AD21=2,AH21,IF($AD22=2,AH22,IF($AD23=2,AH23,AH24)))</f>
        <v>2</v>
      </c>
    </row>
    <row r="23" spans="2:43" ht="20.100000000000001" customHeight="1" x14ac:dyDescent="0.25">
      <c r="B23" s="17"/>
      <c r="C23" s="949"/>
      <c r="D23" s="1153" t="str">
        <f ca="1">IF($S$12=1,IF($AC$7=1,AB19,IF($AC$11=1,AC19,"")),IF(AND($S$12=2,OR($Y$23="LEEG",$Y$23="ONGELDIG")),IF($AC$7=1,AB19,IF($AC$11=1,AC19,"")),""))</f>
        <v>Schotland</v>
      </c>
      <c r="E23" s="1153"/>
      <c r="F23" s="1153"/>
      <c r="G23" s="1153"/>
      <c r="H23" s="1153"/>
      <c r="I23" s="1153"/>
      <c r="J23" s="17"/>
      <c r="K23" s="1153" t="str">
        <f ca="1">IF($S$12=1,IF($AC$7=1,AB24,IF($AC$11=1,AC24,"")),IF(AND($S$12=2,OR($Z$23="LEEG",$Z$23="ONGELDIG")),IF($AC$7=1,AB24,IF($AC$11=1,AC24,"")),""))</f>
        <v>Albanië</v>
      </c>
      <c r="L23" s="1153"/>
      <c r="M23" s="1153"/>
      <c r="N23" s="1153"/>
      <c r="O23" s="1153"/>
      <c r="P23" s="1153"/>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2251</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5</v>
      </c>
      <c r="AG23" s="143">
        <f ca="1">IF($AC$7=1,VLOOKUP($V23,Groepswedstrijden!$AH$12:$BA$78,10,FALSE),IF($AC$11=1,VLOOKUP($V23,#REF!,10,FALSE),""))</f>
        <v>5</v>
      </c>
      <c r="AH23" s="143">
        <f ca="1">IF($AC$7=1,VLOOKUP($V23,Groepswedstrijden!$AH$12:$BA$78,11,FALSE),IF($AC$11=1,VLOOKUP($V23,#REF!,11,FALSE),""))</f>
        <v>2</v>
      </c>
      <c r="AI23" s="219">
        <f ca="1">IF($AC$7=1,VLOOKUP($V23,Groepswedstrijden!$AH$12:$BA$78,19,FALSE),IF($AC$11=1,VLOOKUP($V23,#REF!,19,FALSE),""))</f>
        <v>55030503500002</v>
      </c>
      <c r="AJ23" s="224">
        <f ca="1">FLOOR(IF($AD21=3,AI21,IF($AD22=3,AI22,IF($AD23=3,AI23,AI24)))/10,1)</f>
        <v>4500030350000</v>
      </c>
      <c r="AL23" s="1160"/>
      <c r="AM23" s="339" t="str">
        <f ca="1">IF(AJ23=AJ22,"","3.")</f>
        <v>3.</v>
      </c>
      <c r="AN23" s="340" t="str">
        <f ca="1">IF($AD21=3,AE21,IF($AD22=3,AE22,IF($AD23=3,AE23,AE24)))</f>
        <v>Kroatië</v>
      </c>
      <c r="AO23" s="341">
        <f ca="1">IF($AD21=3,AF21,IF($AD22=3,AF22,IF($AD23=3,AF23,AF24)))</f>
        <v>4</v>
      </c>
      <c r="AP23" s="341">
        <f ca="1">IF($AD21=3,AG21,IF($AD22=3,AG22,IF($AD23=3,AG23,AG24)))</f>
        <v>3</v>
      </c>
      <c r="AQ23" s="341">
        <f ca="1">IF($AD21=3,AH21,IF($AD22=3,AH22,IF($AD23=3,AH23,AH24)))</f>
        <v>3</v>
      </c>
    </row>
    <row r="24" spans="2:43" ht="15" customHeight="1" x14ac:dyDescent="0.25">
      <c r="B24" s="17"/>
      <c r="C24" s="949"/>
      <c r="D24" s="1157" t="str">
        <f ca="1">Taal04!$B$26&amp;" C"</f>
        <v>Groep C</v>
      </c>
      <c r="E24" s="1157"/>
      <c r="F24" s="17"/>
      <c r="G24" s="17"/>
      <c r="H24" s="17"/>
      <c r="I24" s="17"/>
      <c r="J24" s="17"/>
      <c r="K24" s="1157" t="str">
        <f ca="1">Taal04!$B$26&amp;" D"</f>
        <v>Groep D</v>
      </c>
      <c r="L24" s="1157"/>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2252</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9</v>
      </c>
      <c r="AI24" s="219">
        <f ca="1">IF($AC$7=1,VLOOKUP($V24,Groepswedstrijden!$AH$12:$BA$78,19,FALSE),IF($AC$11=1,VLOOKUP($V24,#REF!,19,FALSE),""))</f>
        <v>4910003500001</v>
      </c>
      <c r="AJ24" s="224">
        <f ca="1">FLOOR(IF($AD21=4,AI21,IF($AD22=4,AI22,IF($AD23=4,AI23,AI24)))/10,1)</f>
        <v>491000350000</v>
      </c>
      <c r="AL24" s="1161"/>
      <c r="AM24" s="342" t="str">
        <f ca="1">IF(AJ24=AJ23,"","4.")</f>
        <v>4.</v>
      </c>
      <c r="AN24" s="343" t="str">
        <f ca="1">IF($AD21=4,AE21,IF($AD22=4,AE22,IF($AD23=4,AE23,AE24)))</f>
        <v>Albanië</v>
      </c>
      <c r="AO24" s="344">
        <f ca="1">IF($AD21=4,AF21,IF($AD22=4,AF22,IF($AD23=4,AF23,AF24)))</f>
        <v>0</v>
      </c>
      <c r="AP24" s="344">
        <f ca="1">IF($AD21=4,AG21,IF($AD22=4,AG22,IF($AD23=4,AG23,AG24)))</f>
        <v>0</v>
      </c>
      <c r="AQ24" s="344">
        <f ca="1">IF($AD21=4,AH21,IF($AD22=4,AH22,IF($AD23=4,AH23,AH24)))</f>
        <v>9</v>
      </c>
    </row>
    <row r="25" spans="2:43" ht="15" customHeight="1" x14ac:dyDescent="0.25">
      <c r="B25" s="17"/>
      <c r="C25" s="949"/>
      <c r="D25" s="1158"/>
      <c r="E25" s="1158"/>
      <c r="F25" s="17"/>
      <c r="G25" s="17"/>
      <c r="H25" s="17"/>
      <c r="I25" s="17"/>
      <c r="J25" s="17"/>
      <c r="K25" s="1158"/>
      <c r="L25" s="1158"/>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FR.NL.AT.PL|</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2239</v>
      </c>
      <c r="E26" s="820" t="s">
        <v>231</v>
      </c>
      <c r="F26" s="587" t="str">
        <f>IF(Y27="LEEG","▼","")</f>
        <v/>
      </c>
      <c r="G26" s="17"/>
      <c r="H26" s="741"/>
      <c r="I26" s="741"/>
      <c r="J26" s="17"/>
      <c r="K26" s="335" t="s">
        <v>2239</v>
      </c>
      <c r="L26" s="821" t="s">
        <v>247</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2240</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0</v>
      </c>
      <c r="AG26" s="143">
        <f ca="1">IF($AC$7=1,VLOOKUP($V26,Groepswedstrijden!$AH$12:$BA$78,10,FALSE),IF($AC$11=1,VLOOKUP($V26,#REF!,10,FALSE),""))</f>
        <v>1</v>
      </c>
      <c r="AH26" s="143">
        <f ca="1">IF($AC$7=1,VLOOKUP($V26,Groepswedstrijden!$AH$12:$BA$78,11,FALSE),IF($AC$11=1,VLOOKUP($V26,#REF!,11,FALSE),""))</f>
        <v>6</v>
      </c>
      <c r="AI26" s="219">
        <f ca="1">IF($AC$7=1,VLOOKUP($V26,Groepswedstrijden!$AH$12:$BA$78,19,FALSE),IF($AC$11=1,VLOOKUP($V26,#REF!,19,FALSE),""))</f>
        <v>4950103500004</v>
      </c>
      <c r="AJ26" s="224">
        <f ca="1">FLOOR(IF($AD26=1,AI26,IF($AD27=1,AI27,IF($AD28=1,AI28,AI29)))/10,1)</f>
        <v>9507070350000</v>
      </c>
      <c r="AL26" s="1159" t="str">
        <f ca="1">AE25</f>
        <v>GROEP C</v>
      </c>
      <c r="AM26" s="336" t="s">
        <v>2241</v>
      </c>
      <c r="AN26" s="337" t="str">
        <f ca="1">IF($AD26=1,AE26,IF($AD27=1,AE27,IF($AD28=1,AE28,AE29)))</f>
        <v>Engeland</v>
      </c>
      <c r="AO26" s="338">
        <f ca="1">IF($AD26=1,AF26,IF($AD27=1,AF27,IF($AD28=1,AF28,AF29)))</f>
        <v>9</v>
      </c>
      <c r="AP26" s="338">
        <f ca="1">IF($AD26=1,AG26,IF($AD27=1,AG27,IF($AD28=1,AG28,AG29)))</f>
        <v>7</v>
      </c>
      <c r="AQ26" s="338">
        <f ca="1">IF($AD26=1,AH26,IF($AD27=1,AH27,IF($AD28=1,AH28,AH29)))</f>
        <v>0</v>
      </c>
    </row>
    <row r="27" spans="2:43" ht="20.100000000000001" customHeight="1" x14ac:dyDescent="0.25">
      <c r="B27" s="17"/>
      <c r="C27" s="949"/>
      <c r="D27" s="1153" t="str">
        <f ca="1">IF($S$12=1,IF($AC$7=1,AB26,IF($AC$11=1,AC26,"")),IF(AND($S$12=2,OR($Y$27="LEEG",$Y$27="ONGELDIG")),IF($AC$7=1,AB26,IF($AC$11=1,AC26,"")),""))</f>
        <v>Engeland</v>
      </c>
      <c r="E27" s="1153"/>
      <c r="F27" s="1153"/>
      <c r="G27" s="1153"/>
      <c r="H27" s="1153"/>
      <c r="I27" s="1153"/>
      <c r="J27" s="17"/>
      <c r="K27" s="1153" t="str">
        <f ca="1">IF($S$12=1,IF($AC$7=1,AB31,IF($AC$11=1,AC31,"")),IF(AND($S$12=2,OR($Z$27="LEEG",$Z$27="ONGELDIG")),IF($AC$7=1,AB31,IF($AC$11=1,AC31,"")),""))</f>
        <v>Frankrijk</v>
      </c>
      <c r="L27" s="1153"/>
      <c r="M27" s="1153"/>
      <c r="N27" s="1153"/>
      <c r="O27" s="1153"/>
      <c r="P27" s="1153"/>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2242</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6</v>
      </c>
      <c r="AG27" s="143">
        <f ca="1">IF($AC$7=1,VLOOKUP($V27,Groepswedstrijden!$AH$12:$BA$78,10,FALSE),IF($AC$11=1,VLOOKUP($V27,#REF!,10,FALSE),""))</f>
        <v>3</v>
      </c>
      <c r="AH27" s="143">
        <f ca="1">IF($AC$7=1,VLOOKUP($V27,Groepswedstrijden!$AH$12:$BA$78,11,FALSE),IF($AC$11=1,VLOOKUP($V27,#REF!,11,FALSE),""))</f>
        <v>3</v>
      </c>
      <c r="AI27" s="219">
        <f ca="1">IF($AC$7=1,VLOOKUP($V27,Groepswedstrijden!$AH$12:$BA$78,19,FALSE),IF($AC$11=1,VLOOKUP($V27,#REF!,19,FALSE),""))</f>
        <v>65000303500001</v>
      </c>
      <c r="AJ27" s="224">
        <f ca="1">FLOOR(IF($AD26=2,AI26,IF($AD27=2,AI27,IF($AD28=2,AI28,AI29)))/10,1)</f>
        <v>6500030350000</v>
      </c>
      <c r="AL27" s="1160"/>
      <c r="AM27" s="339" t="str">
        <f ca="1">IF(AJ27=AJ26,"","2.")</f>
        <v>2.</v>
      </c>
      <c r="AN27" s="340" t="str">
        <f ca="1">IF($AD26=2,AE26,IF($AD27=2,AE27,IF($AD28=2,AE28,AE29)))</f>
        <v>Denemarken</v>
      </c>
      <c r="AO27" s="341">
        <f ca="1">IF($AD26=2,AF26,IF($AD27=2,AF27,IF($AD28=2,AF28,AF29)))</f>
        <v>6</v>
      </c>
      <c r="AP27" s="341">
        <f ca="1">IF($AD26=2,AG26,IF($AD27=2,AG27,IF($AD28=2,AG28,AG29)))</f>
        <v>3</v>
      </c>
      <c r="AQ27" s="341">
        <f ca="1">IF($AD26=2,AH26,IF($AD27=2,AH27,IF($AD28=2,AH28,AH29)))</f>
        <v>3</v>
      </c>
    </row>
    <row r="28" spans="2:43" ht="15" customHeight="1" x14ac:dyDescent="0.25">
      <c r="B28" s="17"/>
      <c r="C28" s="949"/>
      <c r="D28" s="335" t="s">
        <v>2243</v>
      </c>
      <c r="E28" s="820" t="s">
        <v>224</v>
      </c>
      <c r="F28" s="587" t="str">
        <f>IF(Y29="LEEG","▼","")</f>
        <v/>
      </c>
      <c r="G28" s="17"/>
      <c r="H28" s="17"/>
      <c r="I28" s="17"/>
      <c r="J28" s="17"/>
      <c r="K28" s="335" t="s">
        <v>2243</v>
      </c>
      <c r="L28" s="821" t="s">
        <v>239</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2244</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Servië</v>
      </c>
      <c r="AC28" s="64" t="e">
        <f>#REF!</f>
        <v>#REF!</v>
      </c>
      <c r="AD28" s="143">
        <f ca="1">IF($AC$7=1,VLOOKUP($V28,Groepswedstrijden!$AH$12:$BA$78,20,FALSE),IF($AC$11=1,VLOOKUP($V28,#REF!,20,FALSE),""))</f>
        <v>3</v>
      </c>
      <c r="AE28" s="186" t="str">
        <f ca="1">IF($AC$7=1,VLOOKUP($V28,Groepswedstrijden!$AH$12:$BA$78,3,FALSE),IF($AC$11=1,VLOOKUP($V28,#REF!,3,FALSE),""))</f>
        <v>Servië</v>
      </c>
      <c r="AF28" s="143">
        <f ca="1">IF($AC$7=1,VLOOKUP($V28,Groepswedstrijden!$AH$12:$BA$78,9,FALSE),IF($AC$11=1,VLOOKUP($V28,#REF!,9,FALSE),""))</f>
        <v>3</v>
      </c>
      <c r="AG28" s="143">
        <f ca="1">IF($AC$7=1,VLOOKUP($V28,Groepswedstrijden!$AH$12:$BA$78,10,FALSE),IF($AC$11=1,VLOOKUP($V28,#REF!,10,FALSE),""))</f>
        <v>3</v>
      </c>
      <c r="AH28" s="143">
        <f ca="1">IF($AC$7=1,VLOOKUP($V28,Groepswedstrijden!$AH$12:$BA$78,11,FALSE),IF($AC$11=1,VLOOKUP($V28,#REF!,11,FALSE),""))</f>
        <v>5</v>
      </c>
      <c r="AI28" s="219">
        <f ca="1">IF($AC$7=1,VLOOKUP($V28,Groepswedstrijden!$AH$12:$BA$78,19,FALSE),IF($AC$11=1,VLOOKUP($V28,#REF!,19,FALSE),""))</f>
        <v>34980303500003</v>
      </c>
      <c r="AJ28" s="224">
        <f ca="1">FLOOR(IF($AD26=3,AI26,IF($AD27=3,AI27,IF($AD28=3,AI28,AI29)))/10,1)</f>
        <v>3498030350000</v>
      </c>
      <c r="AL28" s="1160"/>
      <c r="AM28" s="339" t="str">
        <f ca="1">IF(AJ28=AJ27,"","3.")</f>
        <v>3.</v>
      </c>
      <c r="AN28" s="340" t="str">
        <f ca="1">IF($AD26=3,AE26,IF($AD27=3,AE27,IF($AD28=3,AE28,AE29)))</f>
        <v>Servië</v>
      </c>
      <c r="AO28" s="341">
        <f ca="1">IF($AD26=3,AF26,IF($AD27=3,AF27,IF($AD28=3,AF28,AF29)))</f>
        <v>3</v>
      </c>
      <c r="AP28" s="341">
        <f ca="1">IF($AD26=3,AG26,IF($AD27=3,AG27,IF($AD28=3,AG28,AG29)))</f>
        <v>3</v>
      </c>
      <c r="AQ28" s="341">
        <f ca="1">IF($AD26=3,AH26,IF($AD27=3,AH27,IF($AD28=3,AH28,AH29)))</f>
        <v>5</v>
      </c>
    </row>
    <row r="29" spans="2:43" ht="20.100000000000001" customHeight="1" x14ac:dyDescent="0.25">
      <c r="B29" s="17"/>
      <c r="C29" s="949"/>
      <c r="D29" s="1153" t="str">
        <f ca="1">IF($S$12=1,IF($AC$7=1,AB27,IF($AC$11=1,AC27,"")),IF(AND($S$12=2,OR($Y$29="LEEG",$Y$29="ONGELDIG")),IF($AC$7=1,AB27,IF($AC$11=1,AC27,"")),""))</f>
        <v>Denemarken</v>
      </c>
      <c r="E29" s="1153"/>
      <c r="F29" s="1153"/>
      <c r="G29" s="1153"/>
      <c r="H29" s="1153"/>
      <c r="I29" s="1153"/>
      <c r="J29" s="17"/>
      <c r="K29" s="1153" t="str">
        <f ca="1">IF($S$12=1,IF($AC$7=1,AB32,IF($AC$11=1,AC32,"")),IF(AND($S$12=2,OR($Z$29="LEEG",$Z$29="ONGELDIG")),IF($AC$7=1,AB32,IF($AC$11=1,AC32,"")),""))</f>
        <v>Nederland</v>
      </c>
      <c r="L29" s="1153"/>
      <c r="M29" s="1153"/>
      <c r="N29" s="1153"/>
      <c r="O29" s="1153"/>
      <c r="P29" s="1153"/>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2245</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7</v>
      </c>
      <c r="AH29" s="143">
        <f ca="1">IF($AC$7=1,VLOOKUP($V29,Groepswedstrijden!$AH$12:$BA$78,11,FALSE),IF($AC$11=1,VLOOKUP($V29,#REF!,11,FALSE),""))</f>
        <v>0</v>
      </c>
      <c r="AI29" s="219">
        <f ca="1">IF($AC$7=1,VLOOKUP($V29,Groepswedstrijden!$AH$12:$BA$78,19,FALSE),IF($AC$11=1,VLOOKUP($V29,#REF!,19,FALSE),""))</f>
        <v>95070703500002</v>
      </c>
      <c r="AJ29" s="224">
        <f ca="1">FLOOR(IF($AD26=4,AI26,IF($AD27=4,AI27,IF($AD28=4,AI28,AI29)))/10,1)</f>
        <v>495010350000</v>
      </c>
      <c r="AL29" s="1161"/>
      <c r="AM29" s="342" t="str">
        <f ca="1">IF(AJ29=AJ28,"","4.")</f>
        <v>4.</v>
      </c>
      <c r="AN29" s="343" t="str">
        <f ca="1">IF($AD26=4,AE26,IF($AD27=4,AE27,IF($AD28=4,AE28,AE29)))</f>
        <v>Slovenië</v>
      </c>
      <c r="AO29" s="344">
        <f ca="1">IF($AD26=4,AF26,IF($AD27=4,AF27,IF($AD28=4,AF28,AF29)))</f>
        <v>0</v>
      </c>
      <c r="AP29" s="344">
        <f ca="1">IF($AD26=4,AG26,IF($AD27=4,AG27,IF($AD28=4,AG28,AG29)))</f>
        <v>1</v>
      </c>
      <c r="AQ29" s="344">
        <f ca="1">IF($AD26=4,AH26,IF($AD27=4,AH27,IF($AD28=4,AH28,AH29)))</f>
        <v>6</v>
      </c>
    </row>
    <row r="30" spans="2:43" ht="15" customHeight="1" x14ac:dyDescent="0.25">
      <c r="B30" s="17"/>
      <c r="C30" s="949"/>
      <c r="D30" s="335" t="s">
        <v>2246</v>
      </c>
      <c r="E30" s="820" t="s">
        <v>228</v>
      </c>
      <c r="F30" s="587" t="str">
        <f>IF(Y31="LEEG","▼","")</f>
        <v/>
      </c>
      <c r="G30" s="17"/>
      <c r="H30" s="17"/>
      <c r="I30" s="17"/>
      <c r="J30" s="17"/>
      <c r="K30" s="335" t="s">
        <v>2246</v>
      </c>
      <c r="L30" s="821" t="s">
        <v>243</v>
      </c>
      <c r="M30" s="587" t="str">
        <f>IF(Z31="LEEG","▼","")</f>
        <v/>
      </c>
      <c r="N30" s="17"/>
      <c r="O30" s="17"/>
      <c r="P30" s="17"/>
      <c r="Q30" s="60"/>
      <c r="R30" s="17"/>
      <c r="S30" s="111">
        <v>1</v>
      </c>
      <c r="T30" s="135"/>
      <c r="U30" s="50"/>
      <c r="V30" s="289" t="str">
        <f ca="1">RIGHT(K24,1)</f>
        <v>D</v>
      </c>
      <c r="W30" s="588"/>
      <c r="X30" s="196" t="s">
        <v>2247</v>
      </c>
      <c r="Y30" s="144">
        <f>IF(ISBLANK(E30),1,IF(SUBSTITUTE(W26,E30,"#")&lt;&gt;W26,2,IF(SUBSTITUTE(W27,E30,"#")&lt;&gt;W27,3,IF(SUBSTITUTE(W28,E30,"#")&lt;&gt;W28,4,IF(SUBSTITUTE(W29,E30,"#")&lt;&gt;W29,5,6)))))</f>
        <v>4</v>
      </c>
      <c r="Z30" s="144">
        <f>IF(ISBLANK(L30),1,IF(SUBSTITUTE(W31,L30,"#")&lt;&gt;W31,2,IF(SUBSTITUTE(W32,L30,"#")&lt;&gt;W32,3,IF(SUBSTITUTE(W33,L30,"#")&lt;&gt;W33,4,IF(SUBSTITUTE(W34,L30,"#")&lt;&gt;W34,5,6)))))</f>
        <v>4</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3" t="str">
        <f ca="1">IF($S$12=1,IF($AC$7=1,AB28,IF($AC$11=1,AC28,"")),IF(AND($S$12=2,OR($Y$31="LEEG",$Y$31="ONGELDIG")),IF($AC$7=1,AB28,IF($AC$11=1,AC28,"")),""))</f>
        <v>Servië</v>
      </c>
      <c r="E31" s="1153"/>
      <c r="F31" s="1153"/>
      <c r="G31" s="1153"/>
      <c r="H31" s="1153"/>
      <c r="I31" s="1153"/>
      <c r="J31" s="17"/>
      <c r="K31" s="1153" t="str">
        <f ca="1">IF($S$12=1,IF($AC$7=1,AB33,IF($AC$11=1,AC33,"")),IF(AND($S$12=2,OR($Z$31="LEEG",$Z$31="ONGELDIG")),IF($AC$7=1,AB33,IF($AC$11=1,AC33,"")),""))</f>
        <v>Polen / Oostenrijk</v>
      </c>
      <c r="L31" s="1153"/>
      <c r="M31" s="1153"/>
      <c r="N31" s="1153"/>
      <c r="O31" s="1153"/>
      <c r="P31" s="1153"/>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2248</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4</v>
      </c>
      <c r="AE31" s="186" t="str">
        <f ca="1">IF($AC$7=1,VLOOKUP($V31,Groepswedstrijden!$AH$12:$BA$78,3,FALSE),IF($AC$11=1,VLOOKUP($V31,#REF!,3,FALSE),""))</f>
        <v>Polen</v>
      </c>
      <c r="AF31" s="143">
        <f ca="1">IF($AC$7=1,VLOOKUP($V31,Groepswedstrijden!$AH$12:$BA$78,9,FALSE),IF($AC$11=1,VLOOKUP($V31,#REF!,9,FALSE),""))</f>
        <v>1</v>
      </c>
      <c r="AG31" s="143">
        <f ca="1">IF($AC$7=1,VLOOKUP($V31,Groepswedstrijden!$AH$12:$BA$78,10,FALSE),IF($AC$11=1,VLOOKUP($V31,#REF!,10,FALSE),""))</f>
        <v>2</v>
      </c>
      <c r="AH31" s="143">
        <f ca="1">IF($AC$7=1,VLOOKUP($V31,Groepswedstrijden!$AH$12:$BA$78,11,FALSE),IF($AC$11=1,VLOOKUP($V31,#REF!,11,FALSE),""))</f>
        <v>7</v>
      </c>
      <c r="AI31" s="219">
        <f ca="1">IF($AC$7=1,VLOOKUP($V31,Groepswedstrijden!$AH$12:$BA$78,19,FALSE),IF($AC$11=1,VLOOKUP($V31,#REF!,19,FALSE),""))</f>
        <v>14950203500014</v>
      </c>
      <c r="AJ31" s="224">
        <f ca="1">FLOOR(IF($AD31=1,AI31,IF($AD32=1,AI32,IF($AD33=1,AI33,AI34)))/10,1)</f>
        <v>9509090350000</v>
      </c>
      <c r="AL31" s="1159" t="str">
        <f ca="1">AE30</f>
        <v>GROEP D</v>
      </c>
      <c r="AM31" s="336" t="s">
        <v>2241</v>
      </c>
      <c r="AN31" s="337" t="str">
        <f ca="1">IF($AD31=1,AE31,IF($AD32=1,AE32,IF($AD33=1,AE33,AE34)))</f>
        <v>Frankrijk</v>
      </c>
      <c r="AO31" s="338">
        <f ca="1">IF($AD31=1,AF31,IF($AD32=1,AF32,IF($AD33=1,AF33,AF34)))</f>
        <v>9</v>
      </c>
      <c r="AP31" s="338">
        <f ca="1">IF($AD31=1,AG31,IF($AD32=1,AG32,IF($AD33=1,AG33,AG34)))</f>
        <v>9</v>
      </c>
      <c r="AQ31" s="338">
        <f ca="1">IF($AD31=1,AH31,IF($AD32=1,AH32,IF($AD33=1,AH33,AH34)))</f>
        <v>0</v>
      </c>
    </row>
    <row r="32" spans="2:43" ht="15" customHeight="1" x14ac:dyDescent="0.25">
      <c r="B32" s="17"/>
      <c r="C32" s="949"/>
      <c r="D32" s="335" t="s">
        <v>2249</v>
      </c>
      <c r="E32" s="820" t="s">
        <v>220</v>
      </c>
      <c r="F32" s="587" t="str">
        <f>IF(Y33="LEEG","▼","")</f>
        <v/>
      </c>
      <c r="G32" s="17"/>
      <c r="H32" s="17"/>
      <c r="I32" s="17"/>
      <c r="J32" s="17"/>
      <c r="K32" s="335" t="s">
        <v>2249</v>
      </c>
      <c r="L32" s="821" t="s">
        <v>237</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2250</v>
      </c>
      <c r="Y32" s="144">
        <f>IF(ISBLANK(E32),1,IF(SUBSTITUTE(W26,E32,"#")&lt;&gt;W26,2,IF(SUBSTITUTE(W27,E32,"#")&lt;&gt;W27,3,IF(SUBSTITUTE(W28,E32,"#")&lt;&gt;W28,4,IF(SUBSTITUTE(W29,E32,"#")&lt;&gt;W29,5,6)))))</f>
        <v>2</v>
      </c>
      <c r="Z32" s="144">
        <f>IF(ISBLANK(L32),1,IF(SUBSTITUTE(W31,L32,"#")&lt;&gt;W31,2,IF(SUBSTITUTE(W32,L32,"#")&lt;&gt;W32,3,IF(SUBSTITUTE(W33,L32,"#")&lt;&gt;W33,4,IF(SUBSTITUTE(W34,L32,"#")&lt;&gt;W34,5,6)))))</f>
        <v>2</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4</v>
      </c>
      <c r="AH32" s="143">
        <f ca="1">IF($AC$7=1,VLOOKUP($V32,Groepswedstrijden!$AH$12:$BA$78,11,FALSE),IF($AC$11=1,VLOOKUP($V32,#REF!,11,FALSE),""))</f>
        <v>4</v>
      </c>
      <c r="AI32" s="219">
        <f ca="1">IF($AC$7=1,VLOOKUP($V32,Groepswedstrijden!$AH$12:$BA$78,19,FALSE),IF($AC$11=1,VLOOKUP($V32,#REF!,19,FALSE),""))</f>
        <v>65000403500002</v>
      </c>
      <c r="AJ32" s="224">
        <f ca="1">FLOOR(IF($AD31=2,AI31,IF($AD32=2,AI32,IF($AD33=2,AI33,AI34)))/10,1)</f>
        <v>6500040350000</v>
      </c>
      <c r="AL32" s="1160"/>
      <c r="AM32" s="339" t="str">
        <f ca="1">IF(AJ32=AJ31,"","2.")</f>
        <v>2.</v>
      </c>
      <c r="AN32" s="340" t="str">
        <f ca="1">IF($AD31=2,AE31,IF($AD32=2,AE32,IF($AD33=2,AE33,AE34)))</f>
        <v>Nederland</v>
      </c>
      <c r="AO32" s="341">
        <f ca="1">IF($AD31=2,AF31,IF($AD32=2,AF32,IF($AD33=2,AF33,AF34)))</f>
        <v>6</v>
      </c>
      <c r="AP32" s="341">
        <f ca="1">IF($AD31=2,AG31,IF($AD32=2,AG32,IF($AD33=2,AG33,AG34)))</f>
        <v>4</v>
      </c>
      <c r="AQ32" s="341">
        <f ca="1">IF($AD31=2,AH31,IF($AD32=2,AH32,IF($AD33=2,AH33,AH34)))</f>
        <v>4</v>
      </c>
    </row>
    <row r="33" spans="1:43" ht="20.100000000000001" customHeight="1" x14ac:dyDescent="0.25">
      <c r="B33" s="17"/>
      <c r="C33" s="949"/>
      <c r="D33" s="1153" t="str">
        <f ca="1">IF($S$12=1,IF($AC$7=1,AB29,IF($AC$11=1,AC29,"")),IF(AND($S$12=2,OR($Y$33="LEEG",$Y$33="ONGELDIG")),IF($AC$7=1,AB29,IF($AC$11=1,AC29,"")),""))</f>
        <v>Slovenië</v>
      </c>
      <c r="E33" s="1153"/>
      <c r="F33" s="1153"/>
      <c r="G33" s="1153"/>
      <c r="H33" s="1153"/>
      <c r="I33" s="1153"/>
      <c r="J33" s="17"/>
      <c r="K33" s="1153" t="str">
        <f ca="1">IF($S$12=1,IF($AC$7=1,AB34,IF($AC$11=1,AC34,"")),IF(AND($S$12=2,OR($Z$33="LEEG",$Z$33="ONGELDIG")),IF($AC$7=1,AB34,IF($AC$11=1,AC34,"")),""))</f>
        <v>Polen / Oostenrijk</v>
      </c>
      <c r="L33" s="1153"/>
      <c r="M33" s="1153"/>
      <c r="N33" s="1153"/>
      <c r="O33" s="1153"/>
      <c r="P33" s="1153"/>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2251</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 / Oostenrijk</v>
      </c>
      <c r="AC33" s="64" t="e">
        <f>#REF!</f>
        <v>#REF!</v>
      </c>
      <c r="AD33" s="143">
        <f ca="1">IF($AC$7=1,VLOOKUP($V33,Groepswedstrijden!$AH$12:$BA$78,20,FALSE),IF($AC$11=1,VLOOKUP($V33,#REF!,20,FALSE),""))</f>
        <v>3</v>
      </c>
      <c r="AE33" s="186" t="str">
        <f ca="1">IF($AC$7=1,VLOOKUP($V33,Groepswedstrijden!$AH$12:$BA$78,3,FALSE),IF($AC$11=1,VLOOKUP($V33,#REF!,3,FALSE),""))</f>
        <v>Oostenrijk</v>
      </c>
      <c r="AF33" s="143">
        <f ca="1">IF($AC$7=1,VLOOKUP($V33,Groepswedstrijden!$AH$12:$BA$78,9,FALSE),IF($AC$11=1,VLOOKUP($V33,#REF!,9,FALSE),""))</f>
        <v>1</v>
      </c>
      <c r="AG33" s="143">
        <f ca="1">IF($AC$7=1,VLOOKUP($V33,Groepswedstrijden!$AH$12:$BA$78,10,FALSE),IF($AC$11=1,VLOOKUP($V33,#REF!,10,FALSE),""))</f>
        <v>2</v>
      </c>
      <c r="AH33" s="143">
        <f ca="1">IF($AC$7=1,VLOOKUP($V33,Groepswedstrijden!$AH$12:$BA$78,11,FALSE),IF($AC$11=1,VLOOKUP($V33,#REF!,11,FALSE),""))</f>
        <v>6</v>
      </c>
      <c r="AI33" s="219">
        <f ca="1">IF($AC$7=1,VLOOKUP($V33,Groepswedstrijden!$AH$12:$BA$78,19,FALSE),IF($AC$11=1,VLOOKUP($V33,#REF!,19,FALSE),""))</f>
        <v>14960203500013</v>
      </c>
      <c r="AJ33" s="224">
        <f ca="1">FLOOR(IF($AD31=3,AI31,IF($AD32=3,AI32,IF($AD33=3,AI33,AI34)))/10,1)</f>
        <v>1496020350001</v>
      </c>
      <c r="AL33" s="1160"/>
      <c r="AM33" s="339" t="str">
        <f ca="1">IF(AJ33=AJ32,"","3.")</f>
        <v>3.</v>
      </c>
      <c r="AN33" s="340" t="str">
        <f ca="1">IF($AD31=3,AE31,IF($AD32=3,AE32,IF($AD33=3,AE33,AE34)))</f>
        <v>Oostenrijk</v>
      </c>
      <c r="AO33" s="341">
        <f ca="1">IF($AD31=3,AF31,IF($AD32=3,AF32,IF($AD33=3,AF33,AF34)))</f>
        <v>1</v>
      </c>
      <c r="AP33" s="341">
        <f ca="1">IF($AD31=3,AG31,IF($AD32=3,AG32,IF($AD33=3,AG33,AG34)))</f>
        <v>2</v>
      </c>
      <c r="AQ33" s="341">
        <f ca="1">IF($AD31=3,AH31,IF($AD32=3,AH32,IF($AD33=3,AH33,AH34)))</f>
        <v>6</v>
      </c>
    </row>
    <row r="34" spans="1:43" ht="15" customHeight="1" x14ac:dyDescent="0.25">
      <c r="B34" s="17"/>
      <c r="C34" s="949"/>
      <c r="D34" s="1157" t="str">
        <f ca="1">Taal04!$B$26&amp;" E"</f>
        <v>Groep E</v>
      </c>
      <c r="E34" s="1157"/>
      <c r="F34" s="17"/>
      <c r="G34" s="17"/>
      <c r="H34" s="17"/>
      <c r="I34" s="17"/>
      <c r="J34" s="17"/>
      <c r="K34" s="1157" t="str">
        <f ca="1">Taal04!$B$26&amp;" F"</f>
        <v>Groep F</v>
      </c>
      <c r="L34" s="1157"/>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2252</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 / Oostenrijk</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9</v>
      </c>
      <c r="AH34" s="143">
        <f ca="1">IF($AC$7=1,VLOOKUP($V34,Groepswedstrijden!$AH$12:$BA$78,11,FALSE),IF($AC$11=1,VLOOKUP($V34,#REF!,11,FALSE),""))</f>
        <v>0</v>
      </c>
      <c r="AI34" s="219">
        <f ca="1">IF($AC$7=1,VLOOKUP($V34,Groepswedstrijden!$AH$12:$BA$78,19,FALSE),IF($AC$11=1,VLOOKUP($V34,#REF!,19,FALSE),""))</f>
        <v>95090903500001</v>
      </c>
      <c r="AJ34" s="224">
        <f ca="1">FLOOR(IF($AD31=4,AI31,IF($AD32=4,AI32,IF($AD33=4,AI33,AI34)))/10,1)</f>
        <v>1495020350001</v>
      </c>
      <c r="AL34" s="1161"/>
      <c r="AM34" s="342" t="str">
        <f ca="1">IF(AJ34=AJ33,"","4.")</f>
        <v>4.</v>
      </c>
      <c r="AN34" s="343" t="str">
        <f ca="1">IF($AD31=4,AE31,IF($AD32=4,AE32,IF($AD33=4,AE33,AE34)))</f>
        <v>Polen</v>
      </c>
      <c r="AO34" s="344">
        <f ca="1">IF($AD31=4,AF31,IF($AD32=4,AF32,IF($AD33=4,AF33,AF34)))</f>
        <v>1</v>
      </c>
      <c r="AP34" s="344">
        <f ca="1">IF($AD31=4,AG31,IF($AD32=4,AG32,IF($AD33=4,AG33,AG34)))</f>
        <v>2</v>
      </c>
      <c r="AQ34" s="344">
        <f ca="1">IF($AD31=4,AH31,IF($AD32=4,AH32,IF($AD33=4,AH33,AH34)))</f>
        <v>7</v>
      </c>
    </row>
    <row r="35" spans="1:43" ht="15" customHeight="1" x14ac:dyDescent="0.25">
      <c r="B35" s="17"/>
      <c r="C35" s="949"/>
      <c r="D35" s="1158"/>
      <c r="E35" s="1158"/>
      <c r="F35" s="17"/>
      <c r="G35" s="17"/>
      <c r="H35" s="17"/>
      <c r="I35" s="17"/>
      <c r="J35" s="17"/>
      <c r="K35" s="1158"/>
      <c r="L35" s="1158"/>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BE.UA.SK.RO|</v>
      </c>
      <c r="Z35" s="162" t="str">
        <f ca="1">IF(AND(TYPE(Z36)=1,TYPE(Z38)=1,TYPE(Z40)=1,TYPE(Z42)=1),IF(AND(Z37="GOED",Z39="GOED",Z41="GOED",Z43="GOED"),LOOKUP(Z36,S41:S44,U41:U44)&amp;"."&amp;LOOKUP(Z38,S41:S44,U41:U44)&amp;"."&amp;LOOKUP(Z40,S41:S44,U41:U44)&amp;"."&amp;LOOKUP(Z42,S41:S44,U41:U44)&amp;"|","FOUT"),"ONGELDIG")</f>
        <v>PT.TR.CZ.GE|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2239</v>
      </c>
      <c r="E36" s="820" t="s">
        <v>255</v>
      </c>
      <c r="F36" s="587" t="str">
        <f>IF(Y37="LEEG","▼","")</f>
        <v/>
      </c>
      <c r="G36" s="17"/>
      <c r="H36" s="741"/>
      <c r="I36" s="741"/>
      <c r="J36" s="17"/>
      <c r="K36" s="335" t="s">
        <v>2239</v>
      </c>
      <c r="L36" s="821" t="s">
        <v>279</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2240</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6</v>
      </c>
      <c r="AH36" s="143">
        <f ca="1">IF($AC$7=1,VLOOKUP($V36,Groepswedstrijden!$AH$12:$BA$78,11,FALSE),IF($AC$11=1,VLOOKUP($V36,#REF!,11,FALSE),""))</f>
        <v>2</v>
      </c>
      <c r="AI36" s="219">
        <f ca="1">IF($AC$7=1,VLOOKUP($V36,Groepswedstrijden!$AH$12:$BA$78,19,FALSE),IF($AC$11=1,VLOOKUP($V36,#REF!,19,FALSE),""))</f>
        <v>95040603500001</v>
      </c>
      <c r="AJ36" s="224">
        <f ca="1">FLOOR(IF($AD36=1,AI36,IF($AD37=1,AI37,IF($AD38=1,AI38,AI39)))/10,1)</f>
        <v>9504060350000</v>
      </c>
      <c r="AL36" s="1159" t="str">
        <f ca="1">AE35</f>
        <v>GROEP E</v>
      </c>
      <c r="AM36" s="336" t="s">
        <v>2241</v>
      </c>
      <c r="AN36" s="337" t="str">
        <f ca="1">IF($AD36=1,AE36,IF($AD37=1,AE37,IF($AD38=1,AE38,AE39)))</f>
        <v>België</v>
      </c>
      <c r="AO36" s="338">
        <f ca="1">IF($AD36=1,AF36,IF($AD37=1,AF37,IF($AD38=1,AF38,AF39)))</f>
        <v>9</v>
      </c>
      <c r="AP36" s="338">
        <f ca="1">IF($AD36=1,AG36,IF($AD37=1,AG37,IF($AD38=1,AG38,AG39)))</f>
        <v>6</v>
      </c>
      <c r="AQ36" s="338">
        <f ca="1">IF($AD36=1,AH36,IF($AD37=1,AH37,IF($AD38=1,AH38,AH39)))</f>
        <v>2</v>
      </c>
    </row>
    <row r="37" spans="1:43" ht="20.100000000000001" customHeight="1" x14ac:dyDescent="0.25">
      <c r="B37" s="17"/>
      <c r="C37" s="949"/>
      <c r="D37" s="1153" t="str">
        <f ca="1">IF($S$12=1,IF($AC$7=1,AB36,IF($AC$11=1,AC36,"")),IF(AND($S$12=2,OR($Y$37="LEEG",$Y$37="ONGELDIG")),IF($AC$7=1,AB36,IF($AC$11=1,AC36,"")),""))</f>
        <v>België</v>
      </c>
      <c r="E37" s="1153"/>
      <c r="F37" s="1153"/>
      <c r="G37" s="1153"/>
      <c r="H37" s="1153"/>
      <c r="I37" s="1153"/>
      <c r="J37" s="17"/>
      <c r="K37" s="1153" t="str">
        <f ca="1">IF($S$12=1,IF($AC$7=1,AB41,IF($AC$11=1,AC41,"")),IF(AND($S$12=2,OR($Z$37="LEEG",$Z$37="ONGELDIG")),IF($AC$7=1,AB41,IF($AC$11=1,AC41,"")),""))</f>
        <v>Portugal</v>
      </c>
      <c r="L37" s="1153"/>
      <c r="M37" s="1153"/>
      <c r="N37" s="1153"/>
      <c r="O37" s="1153"/>
      <c r="P37" s="1153"/>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2242</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Oekraïne</v>
      </c>
      <c r="AC37" s="64" t="e">
        <f>#REF!</f>
        <v>#REF!</v>
      </c>
      <c r="AD37" s="143">
        <f ca="1">IF($AC$7=1,VLOOKUP($V37,Groepswedstrijden!$AH$12:$BA$78,20,FALSE),IF($AC$11=1,VLOOKUP($V37,#REF!,20,FALSE),""))</f>
        <v>3</v>
      </c>
      <c r="AE37" s="186" t="str">
        <f ca="1">IF($AC$7=1,VLOOKUP($V37,Groepswedstrijden!$AH$12:$BA$78,3,FALSE),IF($AC$11=1,VLOOKUP($V37,#REF!,3,FALSE),""))</f>
        <v>Slowakije</v>
      </c>
      <c r="AF37" s="143">
        <f ca="1">IF($AC$7=1,VLOOKUP($V37,Groepswedstrijden!$AH$12:$BA$78,9,FALSE),IF($AC$11=1,VLOOKUP($V37,#REF!,9,FALSE),""))</f>
        <v>3</v>
      </c>
      <c r="AG37" s="143">
        <f ca="1">IF($AC$7=1,VLOOKUP($V37,Groepswedstrijden!$AH$12:$BA$78,10,FALSE),IF($AC$11=1,VLOOKUP($V37,#REF!,10,FALSE),""))</f>
        <v>3</v>
      </c>
      <c r="AH37" s="143">
        <f ca="1">IF($AC$7=1,VLOOKUP($V37,Groepswedstrijden!$AH$12:$BA$78,11,FALSE),IF($AC$11=1,VLOOKUP($V37,#REF!,11,FALSE),""))</f>
        <v>4</v>
      </c>
      <c r="AI37" s="219">
        <f ca="1">IF($AC$7=1,VLOOKUP($V37,Groepswedstrijden!$AH$12:$BA$78,19,FALSE),IF($AC$11=1,VLOOKUP($V37,#REF!,19,FALSE),""))</f>
        <v>34990303500004</v>
      </c>
      <c r="AJ37" s="224">
        <f ca="1">FLOOR(IF($AD36=2,AI36,IF($AD37=2,AI37,IF($AD38=2,AI38,AI39)))/10,1)</f>
        <v>6502040350000</v>
      </c>
      <c r="AL37" s="1160"/>
      <c r="AM37" s="339" t="str">
        <f ca="1">IF(AJ37=AJ36,"","2.")</f>
        <v>2.</v>
      </c>
      <c r="AN37" s="340" t="str">
        <f ca="1">IF($AD36=2,AE36,IF($AD37=2,AE37,IF($AD38=2,AE38,AE39)))</f>
        <v>Oekraïne</v>
      </c>
      <c r="AO37" s="341">
        <f ca="1">IF($AD36=2,AF36,IF($AD37=2,AF37,IF($AD38=2,AF38,AF39)))</f>
        <v>6</v>
      </c>
      <c r="AP37" s="341">
        <f ca="1">IF($AD36=2,AG36,IF($AD37=2,AG37,IF($AD38=2,AG38,AG39)))</f>
        <v>4</v>
      </c>
      <c r="AQ37" s="341">
        <f ca="1">IF($AD36=2,AH36,IF($AD37=2,AH37,IF($AD38=2,AH38,AH39)))</f>
        <v>2</v>
      </c>
    </row>
    <row r="38" spans="1:43" ht="15" customHeight="1" x14ac:dyDescent="0.25">
      <c r="B38" s="17"/>
      <c r="C38" s="949"/>
      <c r="D38" s="335" t="s">
        <v>2243</v>
      </c>
      <c r="E38" s="820" t="s">
        <v>265</v>
      </c>
      <c r="F38" s="587" t="str">
        <f>IF(Y39="LEEG","▼","")</f>
        <v/>
      </c>
      <c r="G38" s="17"/>
      <c r="H38" s="17"/>
      <c r="I38" s="17"/>
      <c r="J38" s="17"/>
      <c r="K38" s="335" t="s">
        <v>2243</v>
      </c>
      <c r="L38" s="821" t="s">
        <v>272</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2244</v>
      </c>
      <c r="Y38" s="144">
        <f>IF(ISBLANK(E38),1,IF(SUBSTITUTE(W36,E38,"#")&lt;&gt;W36,2,IF(SUBSTITUTE(W37,E38,"#")&lt;&gt;W37,3,IF(SUBSTITUTE(W38,E38,"#")&lt;&gt;W38,4,IF(SUBSTITUTE(W39,E38,"#")&lt;&gt;W39,5,6)))))</f>
        <v>5</v>
      </c>
      <c r="Z38" s="144">
        <f>IF(ISBLANK(L38),1,IF(SUBSTITUTE(W41,L38,"#")&lt;&gt;W41,2,IF(SUBSTITUTE(W42,L38,"#")&lt;&gt;W42,3,IF(SUBSTITUTE(W43,L38,"#")&lt;&gt;W43,4,IF(SUBSTITUTE(W44,L38,"#")&lt;&gt;W44,5,6)))))</f>
        <v>2</v>
      </c>
      <c r="AA38" s="263" t="str">
        <f ca="1">RIGHT(V38,1)</f>
        <v>3</v>
      </c>
      <c r="AB38" s="265" t="str">
        <f ca="1">Groepswedstrijden!AD78</f>
        <v>Slowakije</v>
      </c>
      <c r="AC38" s="64" t="e">
        <f>#REF!</f>
        <v>#REF!</v>
      </c>
      <c r="AD38" s="143">
        <f ca="1">IF($AC$7=1,VLOOKUP($V38,Groepswedstrijden!$AH$12:$BA$78,20,FALSE),IF($AC$11=1,VLOOKUP($V38,#REF!,20,FALSE),""))</f>
        <v>4</v>
      </c>
      <c r="AE38" s="186" t="str">
        <f ca="1">IF($AC$7=1,VLOOKUP($V38,Groepswedstrijden!$AH$12:$BA$78,3,FALSE),IF($AC$11=1,VLOOKUP($V38,#REF!,3,FALSE),""))</f>
        <v>Roemenië</v>
      </c>
      <c r="AF38" s="143">
        <f ca="1">IF($AC$7=1,VLOOKUP($V38,Groepswedstrijden!$AH$12:$BA$78,9,FALSE),IF($AC$11=1,VLOOKUP($V38,#REF!,9,FALSE),""))</f>
        <v>0</v>
      </c>
      <c r="AG38" s="143">
        <f ca="1">IF($AC$7=1,VLOOKUP($V38,Groepswedstrijden!$AH$12:$BA$78,10,FALSE),IF($AC$11=1,VLOOKUP($V38,#REF!,10,FALSE),""))</f>
        <v>1</v>
      </c>
      <c r="AH38" s="143">
        <f ca="1">IF($AC$7=1,VLOOKUP($V38,Groepswedstrijden!$AH$12:$BA$78,11,FALSE),IF($AC$11=1,VLOOKUP($V38,#REF!,11,FALSE),""))</f>
        <v>6</v>
      </c>
      <c r="AI38" s="219">
        <f ca="1">IF($AC$7=1,VLOOKUP($V38,Groepswedstrijden!$AH$12:$BA$78,19,FALSE),IF($AC$11=1,VLOOKUP($V38,#REF!,19,FALSE),""))</f>
        <v>4950103500003</v>
      </c>
      <c r="AJ38" s="224">
        <f ca="1">FLOOR(IF($AD36=3,AI36,IF($AD37=3,AI37,IF($AD38=3,AI38,AI39)))/10,1)</f>
        <v>3499030350000</v>
      </c>
      <c r="AL38" s="1160"/>
      <c r="AM38" s="339" t="str">
        <f ca="1">IF(AJ38=AJ37,"","3.")</f>
        <v>3.</v>
      </c>
      <c r="AN38" s="340" t="str">
        <f ca="1">IF($AD36=3,AE36,IF($AD37=3,AE37,IF($AD38=3,AE38,AE39)))</f>
        <v>Slowakije</v>
      </c>
      <c r="AO38" s="341">
        <f ca="1">IF($AD36=3,AF36,IF($AD37=3,AF37,IF($AD38=3,AF38,AF39)))</f>
        <v>3</v>
      </c>
      <c r="AP38" s="341">
        <f ca="1">IF($AD36=3,AG36,IF($AD37=3,AG37,IF($AD38=3,AG38,AG39)))</f>
        <v>3</v>
      </c>
      <c r="AQ38" s="341">
        <f ca="1">IF($AD36=3,AH36,IF($AD37=3,AH37,IF($AD38=3,AH38,AH39)))</f>
        <v>4</v>
      </c>
    </row>
    <row r="39" spans="1:43" ht="20.100000000000001" customHeight="1" x14ac:dyDescent="0.25">
      <c r="B39" s="17"/>
      <c r="C39" s="949"/>
      <c r="D39" s="1153" t="str">
        <f ca="1">IF($S$12=1,IF($AC$7=1,AB37,IF($AC$11=1,AC37,"")),IF(AND($S$12=2,OR($Y$39="LEEG",$Y$39="ONGELDIG")),IF($AC$7=1,AB37,IF($AC$11=1,AC37,"")),""))</f>
        <v>Oekraïne</v>
      </c>
      <c r="E39" s="1153"/>
      <c r="F39" s="1153"/>
      <c r="G39" s="1153"/>
      <c r="H39" s="1153"/>
      <c r="I39" s="1153"/>
      <c r="J39" s="17"/>
      <c r="K39" s="1153" t="str">
        <f ca="1">IF($S$12=1,IF($AC$7=1,AB42,IF($AC$11=1,AC42,"")),IF(AND($S$12=2,OR($Z$39="LEEG",$Z$39="ONGELDIG")),IF($AC$7=1,AB42,IF($AC$11=1,AC42,"")),""))</f>
        <v>Turkije / Tsjechië</v>
      </c>
      <c r="L39" s="1153"/>
      <c r="M39" s="1153"/>
      <c r="N39" s="1153"/>
      <c r="O39" s="1153"/>
      <c r="P39" s="1153"/>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2245</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Roemenië</v>
      </c>
      <c r="AC39" s="64" t="e">
        <f>#REF!</f>
        <v>#REF!</v>
      </c>
      <c r="AD39" s="143">
        <f ca="1">IF($AC$7=1,VLOOKUP($V39,Groepswedstrijden!$AH$12:$BA$78,20,FALSE),IF($AC$11=1,VLOOKUP($V39,#REF!,20,FALSE),""))</f>
        <v>2</v>
      </c>
      <c r="AE39" s="186" t="str">
        <f ca="1">IF($AC$7=1,VLOOKUP($V39,Groepswedstrijden!$AH$12:$BA$78,3,FALSE),IF($AC$11=1,VLOOKUP($V39,#REF!,3,FALSE),""))</f>
        <v>Oekraïne</v>
      </c>
      <c r="AF39" s="143">
        <f ca="1">IF($AC$7=1,VLOOKUP($V39,Groepswedstrijden!$AH$12:$BA$78,9,FALSE),IF($AC$11=1,VLOOKUP($V39,#REF!,9,FALSE),""))</f>
        <v>6</v>
      </c>
      <c r="AG39" s="143">
        <f ca="1">IF($AC$7=1,VLOOKUP($V39,Groepswedstrijden!$AH$12:$BA$78,10,FALSE),IF($AC$11=1,VLOOKUP($V39,#REF!,10,FALSE),""))</f>
        <v>4</v>
      </c>
      <c r="AH39" s="143">
        <f ca="1">IF($AC$7=1,VLOOKUP($V39,Groepswedstrijden!$AH$12:$BA$78,11,FALSE),IF($AC$11=1,VLOOKUP($V39,#REF!,11,FALSE),""))</f>
        <v>2</v>
      </c>
      <c r="AI39" s="219">
        <f ca="1">IF($AC$7=1,VLOOKUP($V39,Groepswedstrijden!$AH$12:$BA$78,19,FALSE),IF($AC$11=1,VLOOKUP($V39,#REF!,19,FALSE),""))</f>
        <v>65020403500002</v>
      </c>
      <c r="AJ39" s="224">
        <f ca="1">FLOOR(IF($AD36=4,AI36,IF($AD37=4,AI37,IF($AD38=4,AI38,AI39)))/10,1)</f>
        <v>495010350000</v>
      </c>
      <c r="AL39" s="1161"/>
      <c r="AM39" s="342" t="str">
        <f ca="1">IF(AJ39=AJ38,"","4.")</f>
        <v>4.</v>
      </c>
      <c r="AN39" s="343" t="str">
        <f ca="1">IF($AD36=4,AE36,IF($AD37=4,AE37,IF($AD38=4,AE38,AE39)))</f>
        <v>Roemenië</v>
      </c>
      <c r="AO39" s="344">
        <f ca="1">IF($AD36=4,AF36,IF($AD37=4,AF37,IF($AD38=4,AF38,AF39)))</f>
        <v>0</v>
      </c>
      <c r="AP39" s="344">
        <f ca="1">IF($AD36=4,AG36,IF($AD37=4,AG37,IF($AD38=4,AG38,AG39)))</f>
        <v>1</v>
      </c>
      <c r="AQ39" s="344">
        <f ca="1">IF($AD36=4,AH36,IF($AD37=4,AH37,IF($AD38=4,AH38,AH39)))</f>
        <v>6</v>
      </c>
    </row>
    <row r="40" spans="1:43" ht="15" customHeight="1" x14ac:dyDescent="0.25">
      <c r="B40" s="17"/>
      <c r="C40" s="949"/>
      <c r="D40" s="335" t="s">
        <v>2246</v>
      </c>
      <c r="E40" s="820" t="s">
        <v>258</v>
      </c>
      <c r="F40" s="587" t="str">
        <f>IF(Y41="LEEG","▼","")</f>
        <v/>
      </c>
      <c r="G40" s="17"/>
      <c r="H40" s="17"/>
      <c r="I40" s="17"/>
      <c r="J40" s="17"/>
      <c r="K40" s="335" t="s">
        <v>2246</v>
      </c>
      <c r="L40" s="821" t="s">
        <v>280</v>
      </c>
      <c r="M40" s="587" t="str">
        <f>IF(Z41="LEEG","▼","")</f>
        <v/>
      </c>
      <c r="N40" s="17"/>
      <c r="O40" s="17"/>
      <c r="P40" s="17"/>
      <c r="Q40" s="60"/>
      <c r="R40" s="17"/>
      <c r="S40" s="111">
        <v>1</v>
      </c>
      <c r="T40" s="135"/>
      <c r="U40" s="50"/>
      <c r="V40" s="289" t="str">
        <f ca="1">RIGHT(K34,1)</f>
        <v>F</v>
      </c>
      <c r="W40" s="588"/>
      <c r="X40" s="196" t="s">
        <v>2247</v>
      </c>
      <c r="Y40" s="144">
        <f>IF(ISBLANK(E40),1,IF(SUBSTITUTE(W36,E40,"#")&lt;&gt;W36,2,IF(SUBSTITUTE(W37,E40,"#")&lt;&gt;W37,3,IF(SUBSTITUTE(W38,E40,"#")&lt;&gt;W38,4,IF(SUBSTITUTE(W39,E40,"#")&lt;&gt;W39,5,6)))))</f>
        <v>3</v>
      </c>
      <c r="Z40" s="144">
        <f>IF(ISBLANK(L40),1,IF(SUBSTITUTE(W41,L40,"#")&lt;&gt;W41,2,IF(SUBSTITUTE(W42,L40,"#")&lt;&gt;W42,3,IF(SUBSTITUTE(W43,L40,"#")&lt;&gt;W43,4,IF(SUBSTITUTE(W44,L40,"#")&lt;&gt;W44,5,6)))))</f>
        <v>5</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3" t="str">
        <f ca="1">IF($S$12=1,IF($AC$7=1,AB38,IF($AC$11=1,AC38,"")),IF(AND($S$12=2,OR($Y$41="LEEG",$Y$41="ONGELDIG")),IF($AC$7=1,AB38,IF($AC$11=1,AC38,"")),""))</f>
        <v>Slowakije</v>
      </c>
      <c r="E41" s="1153"/>
      <c r="F41" s="1153"/>
      <c r="G41" s="1153"/>
      <c r="H41" s="1153"/>
      <c r="I41" s="1153"/>
      <c r="J41" s="17"/>
      <c r="K41" s="1153" t="str">
        <f ca="1">IF($S$12=1,IF($AC$7=1,AB43,IF($AC$11=1,AC43,"")),IF(AND($S$12=2,OR($Z$41="LEEG",$Z$41="ONGELDIG")),IF($AC$7=1,AB43,IF($AC$11=1,AC43,"")),""))</f>
        <v>Turkije / Tsjechië</v>
      </c>
      <c r="L41" s="1153"/>
      <c r="M41" s="1153"/>
      <c r="N41" s="1153"/>
      <c r="O41" s="1153"/>
      <c r="P41" s="1153"/>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2248</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3</v>
      </c>
      <c r="AE41" s="186" t="str">
        <f ca="1">IF($AC$7=1,VLOOKUP($V41,Groepswedstrijden!$AH$12:$BA$78,3,FALSE),IF($AC$11=1,VLOOKUP($V41,#REF!,3,FALSE),""))</f>
        <v>Turkije</v>
      </c>
      <c r="AF41" s="143">
        <f ca="1">IF($AC$7=1,VLOOKUP($V41,Groepswedstrijden!$AH$12:$BA$78,9,FALSE),IF($AC$11=1,VLOOKUP($V41,#REF!,9,FALSE),""))</f>
        <v>4</v>
      </c>
      <c r="AG41" s="143">
        <f ca="1">IF($AC$7=1,VLOOKUP($V41,Groepswedstrijden!$AH$12:$BA$78,10,FALSE),IF($AC$11=1,VLOOKUP($V41,#REF!,10,FALSE),""))</f>
        <v>6</v>
      </c>
      <c r="AH41" s="143">
        <f ca="1">IF($AC$7=1,VLOOKUP($V41,Groepswedstrijden!$AH$12:$BA$78,11,FALSE),IF($AC$11=1,VLOOKUP($V41,#REF!,11,FALSE),""))</f>
        <v>7</v>
      </c>
      <c r="AI41" s="219">
        <f ca="1">IF($AC$7=1,VLOOKUP($V41,Groepswedstrijden!$AH$12:$BA$78,19,FALSE),IF($AC$11=1,VLOOKUP($V41,#REF!,19,FALSE),""))</f>
        <v>44990603500024</v>
      </c>
      <c r="AJ41" s="224">
        <f ca="1">FLOOR(IF($AD41=1,AI41,IF($AD42=1,AI42,IF($AD43=1,AI43,AI44)))/10,1)</f>
        <v>9510120350000</v>
      </c>
      <c r="AL41" s="1159" t="str">
        <f ca="1">AE40</f>
        <v>GROEP F</v>
      </c>
      <c r="AM41" s="336" t="s">
        <v>2241</v>
      </c>
      <c r="AN41" s="337" t="str">
        <f ca="1">IF($AD41=1,AE41,IF($AD42=1,AE42,IF($AD43=1,AE43,AE44)))</f>
        <v>Portugal</v>
      </c>
      <c r="AO41" s="338">
        <f ca="1">IF($AD41=1,AF41,IF($AD42=1,AF42,IF($AD43=1,AF43,AF44)))</f>
        <v>9</v>
      </c>
      <c r="AP41" s="338">
        <f ca="1">IF($AD41=1,AG41,IF($AD42=1,AG42,IF($AD43=1,AG43,AG44)))</f>
        <v>12</v>
      </c>
      <c r="AQ41" s="338">
        <f ca="1">IF($AD41=1,AH41,IF($AD42=1,AH42,IF($AD43=1,AH43,AH44)))</f>
        <v>2</v>
      </c>
    </row>
    <row r="42" spans="1:43" ht="15" customHeight="1" x14ac:dyDescent="0.25">
      <c r="B42" s="17"/>
      <c r="C42" s="949"/>
      <c r="D42" s="335" t="s">
        <v>2249</v>
      </c>
      <c r="E42" s="820" t="s">
        <v>262</v>
      </c>
      <c r="F42" s="587" t="str">
        <f>IF(Y43="LEEG","▼","")</f>
        <v/>
      </c>
      <c r="G42" s="17"/>
      <c r="H42" s="17"/>
      <c r="I42" s="17"/>
      <c r="J42" s="17"/>
      <c r="K42" s="335" t="s">
        <v>2249</v>
      </c>
      <c r="L42" s="821" t="s">
        <v>276</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2250</v>
      </c>
      <c r="Y42" s="144">
        <f>IF(ISBLANK(E42),1,IF(SUBSTITUTE(W36,E42,"#")&lt;&gt;W36,2,IF(SUBSTITUTE(W37,E42,"#")&lt;&gt;W37,3,IF(SUBSTITUTE(W38,E42,"#")&lt;&gt;W38,4,IF(SUBSTITUTE(W39,E42,"#")&lt;&gt;W39,5,6)))))</f>
        <v>4</v>
      </c>
      <c r="Z42" s="144">
        <f>IF(ISBLANK(L42),1,IF(SUBSTITUTE(W41,L42,"#")&lt;&gt;W41,2,IF(SUBSTITUTE(W42,L42,"#")&lt;&gt;W42,3,IF(SUBSTITUTE(W43,L42,"#")&lt;&gt;W43,4,IF(SUBSTITUTE(W44,L42,"#")&lt;&gt;W44,5,6)))))</f>
        <v>3</v>
      </c>
      <c r="AA42" s="263" t="str">
        <f ca="1">RIGHT(V42,1)</f>
        <v>2</v>
      </c>
      <c r="AB42" s="265" t="str">
        <f ca="1">Groepswedstrijden!AE77</f>
        <v>Turkije / Tsjechië</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1</v>
      </c>
      <c r="AH42" s="143">
        <f ca="1">IF($AC$7=1,VLOOKUP($V42,Groepswedstrijden!$AH$12:$BA$78,11,FALSE),IF($AC$11=1,VLOOKUP($V42,#REF!,11,FALSE),""))</f>
        <v>10</v>
      </c>
      <c r="AI42" s="219">
        <f ca="1">IF($AC$7=1,VLOOKUP($V42,Groepswedstrijden!$AH$12:$BA$78,19,FALSE),IF($AC$11=1,VLOOKUP($V42,#REF!,19,FALSE),""))</f>
        <v>4910103500001</v>
      </c>
      <c r="AJ42" s="224">
        <f ca="1">FLOOR(IF($AD41=2,AI41,IF($AD42=2,AI42,IF($AD43=2,AI43,AI44)))/10,1)</f>
        <v>4500050350002</v>
      </c>
      <c r="AL42" s="1160"/>
      <c r="AM42" s="339" t="str">
        <f ca="1">IF(AJ42=AJ41,"","2.")</f>
        <v>2.</v>
      </c>
      <c r="AN42" s="340" t="str">
        <f ca="1">IF($AD41=2,AE41,IF($AD42=2,AE42,IF($AD43=2,AE43,AE44)))</f>
        <v>Tsjechië</v>
      </c>
      <c r="AO42" s="341">
        <f ca="1">IF($AD41=2,AF41,IF($AD42=2,AF42,IF($AD43=2,AF43,AF44)))</f>
        <v>4</v>
      </c>
      <c r="AP42" s="341">
        <f ca="1">IF($AD41=2,AG41,IF($AD42=2,AG42,IF($AD43=2,AG43,AG44)))</f>
        <v>5</v>
      </c>
      <c r="AQ42" s="341">
        <f ca="1">IF($AD41=2,AH41,IF($AD42=2,AH42,IF($AD43=2,AH43,AH44)))</f>
        <v>5</v>
      </c>
    </row>
    <row r="43" spans="1:43" ht="20.100000000000001" customHeight="1" x14ac:dyDescent="0.25">
      <c r="B43" s="17"/>
      <c r="C43" s="949"/>
      <c r="D43" s="1153" t="str">
        <f ca="1">IF($S$12=1,IF($AC$7=1,AB39,IF($AC$11=1,AC39,"")),IF(AND($S$12=2,OR($Y$43="LEEG",$Y$43="ONGELDIG")),IF($AC$7=1,AB39,IF($AC$11=1,AC39,"")),""))</f>
        <v>Roemenië</v>
      </c>
      <c r="E43" s="1153"/>
      <c r="F43" s="1153"/>
      <c r="G43" s="1153"/>
      <c r="H43" s="1153"/>
      <c r="I43" s="1153"/>
      <c r="J43" s="17"/>
      <c r="K43" s="1153" t="str">
        <f ca="1">IF($S$12=1,IF($AC$7=1,AB44,IF($AC$11=1,AC44,"")),IF(AND($S$12=2,OR($Z$43="LEEG",$Z$43="ONGELDIG")),IF($AC$7=1,AB44,IF($AC$11=1,AC44,"")),""))</f>
        <v>Georgië</v>
      </c>
      <c r="L43" s="1153"/>
      <c r="M43" s="1153"/>
      <c r="N43" s="1153"/>
      <c r="O43" s="1153"/>
      <c r="P43" s="1153"/>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2251</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Turkije / 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12</v>
      </c>
      <c r="AH43" s="143">
        <f ca="1">IF($AC$7=1,VLOOKUP($V43,Groepswedstrijden!$AH$12:$BA$78,11,FALSE),IF($AC$11=1,VLOOKUP($V43,#REF!,11,FALSE),""))</f>
        <v>2</v>
      </c>
      <c r="AI43" s="219">
        <f ca="1">IF($AC$7=1,VLOOKUP($V43,Groepswedstrijden!$AH$12:$BA$78,19,FALSE),IF($AC$11=1,VLOOKUP($V43,#REF!,19,FALSE),""))</f>
        <v>95101203500002</v>
      </c>
      <c r="AJ43" s="224">
        <f ca="1">FLOOR(IF($AD41=3,AI41,IF($AD42=3,AI42,IF($AD43=3,AI43,AI44)))/10,1)</f>
        <v>4499060350002</v>
      </c>
      <c r="AL43" s="1160"/>
      <c r="AM43" s="339" t="str">
        <f ca="1">IF(AJ43=AJ42,"","3.")</f>
        <v>3.</v>
      </c>
      <c r="AN43" s="340" t="str">
        <f ca="1">IF($AD41=3,AE41,IF($AD42=3,AE42,IF($AD43=3,AE43,AE44)))</f>
        <v>Turkije</v>
      </c>
      <c r="AO43" s="341">
        <f ca="1">IF($AD41=3,AF41,IF($AD42=3,AF42,IF($AD43=3,AF43,AF44)))</f>
        <v>4</v>
      </c>
      <c r="AP43" s="341">
        <f ca="1">IF($AD41=3,AG41,IF($AD42=3,AG42,IF($AD43=3,AG43,AG44)))</f>
        <v>6</v>
      </c>
      <c r="AQ43" s="341">
        <f ca="1">IF($AD41=3,AH41,IF($AD42=3,AH42,IF($AD43=3,AH43,AH44)))</f>
        <v>7</v>
      </c>
    </row>
    <row r="44" spans="1:43" ht="15" customHeight="1" x14ac:dyDescent="0.25">
      <c r="B44" s="17"/>
      <c r="C44" s="949"/>
      <c r="D44" s="1157" t="str">
        <f>IF(A45="H","",Taal04!$B$26&amp;" G")</f>
        <v/>
      </c>
      <c r="E44" s="1157"/>
      <c r="F44" s="381"/>
      <c r="G44" s="381"/>
      <c r="H44" s="381"/>
      <c r="I44" s="381"/>
      <c r="J44" s="381"/>
      <c r="K44" s="1157" t="str">
        <f>IF(A45="H","",Taal04!$B$26&amp;" H")</f>
        <v/>
      </c>
      <c r="L44" s="1157"/>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2252</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2</v>
      </c>
      <c r="AE44" s="186" t="str">
        <f ca="1">IF($AC$7=1,VLOOKUP($V44,Groepswedstrijden!$AH$12:$BA$78,3,FALSE),IF($AC$11=1,VLOOKUP($V44,#REF!,3,FALSE),""))</f>
        <v>Tsjechië</v>
      </c>
      <c r="AF44" s="143">
        <f ca="1">IF($AC$7=1,VLOOKUP($V44,Groepswedstrijden!$AH$12:$BA$78,9,FALSE),IF($AC$11=1,VLOOKUP($V44,#REF!,9,FALSE),""))</f>
        <v>4</v>
      </c>
      <c r="AG44" s="143">
        <f ca="1">IF($AC$7=1,VLOOKUP($V44,Groepswedstrijden!$AH$12:$BA$78,10,FALSE),IF($AC$11=1,VLOOKUP($V44,#REF!,10,FALSE),""))</f>
        <v>5</v>
      </c>
      <c r="AH44" s="143">
        <f ca="1">IF($AC$7=1,VLOOKUP($V44,Groepswedstrijden!$AH$12:$BA$78,11,FALSE),IF($AC$11=1,VLOOKUP($V44,#REF!,11,FALSE),""))</f>
        <v>5</v>
      </c>
      <c r="AI44" s="219">
        <f ca="1">IF($AC$7=1,VLOOKUP($V44,Groepswedstrijden!$AH$12:$BA$78,19,FALSE),IF($AC$11=1,VLOOKUP($V44,#REF!,19,FALSE),""))</f>
        <v>45000503500023</v>
      </c>
      <c r="AJ44" s="224">
        <f ca="1">FLOOR(IF($AD41=4,AI41,IF($AD42=4,AI42,IF($AD43=4,AI43,AI44)))/10,1)</f>
        <v>491010350000</v>
      </c>
      <c r="AL44" s="1161"/>
      <c r="AM44" s="342" t="str">
        <f ca="1">IF(AJ44=AJ43,"","4.")</f>
        <v>4.</v>
      </c>
      <c r="AN44" s="343" t="str">
        <f ca="1">IF($AD41=4,AE41,IF($AD42=4,AE42,IF($AD43=4,AE43,AE44)))</f>
        <v>Georgië</v>
      </c>
      <c r="AO44" s="344">
        <f ca="1">IF($AD41=4,AF41,IF($AD42=4,AF42,IF($AD43=4,AF43,AF44)))</f>
        <v>0</v>
      </c>
      <c r="AP44" s="344">
        <f ca="1">IF($AD41=4,AG41,IF($AD42=4,AG42,IF($AD43=4,AG43,AG44)))</f>
        <v>1</v>
      </c>
      <c r="AQ44" s="344">
        <f ca="1">IF($AD41=4,AH41,IF($AD42=4,AH42,IF($AD43=4,AH43,AH44)))</f>
        <v>10</v>
      </c>
    </row>
    <row r="45" spans="1:43" ht="15" hidden="1" customHeight="1" x14ac:dyDescent="0.25">
      <c r="A45" s="112" t="s">
        <v>2190</v>
      </c>
      <c r="B45" s="17"/>
      <c r="C45" s="949"/>
      <c r="D45" s="1158"/>
      <c r="E45" s="1158"/>
      <c r="F45" s="381"/>
      <c r="G45" s="381"/>
      <c r="H45" s="381"/>
      <c r="I45" s="381"/>
      <c r="J45" s="381"/>
      <c r="K45" s="1158"/>
      <c r="L45" s="1158"/>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2239</v>
      </c>
      <c r="E46" s="820"/>
      <c r="F46" s="587" t="str">
        <f>IF(Y47="LEEG","▼","")</f>
        <v/>
      </c>
      <c r="G46" s="17"/>
      <c r="H46" s="741"/>
      <c r="I46" s="741"/>
      <c r="J46" s="17"/>
      <c r="K46" s="335" t="s">
        <v>2239</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2240</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59" t="str">
        <f ca="1">AE45</f>
        <v>GROEP G</v>
      </c>
      <c r="AM46" s="336" t="s">
        <v>2241</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3" t="str">
        <f ca="1">IF($S$12=1,IF($AC$7=1,AB46,IF($AC$11=1,AC46,"")),IF(AND($S$12=2,OR($Y$47="LEEG",$Y$47="ONGELDIG")),IF($AC$7=1,AB46,IF($AC$11=1,AC46,"")),""))</f>
        <v/>
      </c>
      <c r="E47" s="1153"/>
      <c r="F47" s="1153"/>
      <c r="G47" s="1153"/>
      <c r="H47" s="1153"/>
      <c r="I47" s="1153"/>
      <c r="J47" s="17"/>
      <c r="K47" s="1153" t="str">
        <f ca="1">IF($S$12=1,IF($AC$7=1,AB51,IF($AC$11=1,AC51,"")),IF(AND($S$12=2,OR($Z$47="LEEG",$Z$47="ONGELDIG")),IF($AC$7=1,AB51,IF($AC$11=1,AC51,"")),""))</f>
        <v/>
      </c>
      <c r="L47" s="1153"/>
      <c r="M47" s="1153"/>
      <c r="N47" s="1153"/>
      <c r="O47" s="1153"/>
      <c r="P47" s="1153"/>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2242</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60"/>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2243</v>
      </c>
      <c r="E48" s="820"/>
      <c r="F48" s="587" t="str">
        <f>IF(Y49="LEEG","▼","")</f>
        <v/>
      </c>
      <c r="G48" s="17"/>
      <c r="H48" s="17"/>
      <c r="I48" s="17"/>
      <c r="J48" s="17"/>
      <c r="K48" s="335" t="s">
        <v>2243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2244</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60"/>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3" t="str">
        <f ca="1">IF($S$12=1,IF($AC$7=1,AB47,IF($AC$11=1,AC47,"")),IF(AND($S$12=2,OR($Y$49="LEEG",$Y$49="ONGELDIG")),IF($AC$7=1,AB47,IF($AC$11=1,AC47,"")),""))</f>
        <v/>
      </c>
      <c r="E49" s="1153"/>
      <c r="F49" s="1153"/>
      <c r="G49" s="1153"/>
      <c r="H49" s="1153"/>
      <c r="I49" s="1153"/>
      <c r="J49" s="17"/>
      <c r="K49" s="1153" t="str">
        <f ca="1">IF($S$12=1,IF($AC$7=1,AB52,IF($AC$11=1,AC52,"")),IF(AND($S$12=2,OR($Z$49="LEEG",$Z$49="ONGELDIG")),IF($AC$7=1,AB52,IF($AC$11=1,AC52,"")),""))</f>
        <v/>
      </c>
      <c r="L49" s="1153"/>
      <c r="M49" s="1153"/>
      <c r="N49" s="1153"/>
      <c r="O49" s="1153"/>
      <c r="P49" s="1153"/>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2245</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61"/>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2246</v>
      </c>
      <c r="E50" s="820"/>
      <c r="F50" s="587" t="str">
        <f>IF(Y51="LEEG","▼","")</f>
        <v/>
      </c>
      <c r="G50" s="17"/>
      <c r="H50" s="17"/>
      <c r="I50" s="17"/>
      <c r="J50" s="17"/>
      <c r="K50" s="335" t="s">
        <v>2246</v>
      </c>
      <c r="L50" s="821"/>
      <c r="M50" s="587" t="str">
        <f>IF(Z51="LEEG","▼","")</f>
        <v/>
      </c>
      <c r="N50" s="17"/>
      <c r="O50" s="17"/>
      <c r="P50" s="17"/>
      <c r="Q50" s="60"/>
      <c r="R50" s="17"/>
      <c r="S50" s="359">
        <v>1</v>
      </c>
      <c r="T50" s="287"/>
      <c r="U50" s="290"/>
      <c r="V50" s="289" t="str">
        <f>IF(A45="H","H",RIGHT(K44,1))</f>
        <v>H</v>
      </c>
      <c r="W50" s="588"/>
      <c r="X50" s="487" t="s">
        <v>2247</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3" t="str">
        <f ca="1">IF($S$12=1,IF($AC$7=1,AB48,IF($AC$11=1,AC48,"")),IF(AND($S$12=2,OR($Y$51="LEEG",$Y$51="ONGELDIG")),IF($AC$7=1,AB48,IF($AC$11=1,AC48,"")),""))</f>
        <v/>
      </c>
      <c r="E51" s="1153"/>
      <c r="F51" s="1153"/>
      <c r="G51" s="1153"/>
      <c r="H51" s="1153"/>
      <c r="I51" s="1153"/>
      <c r="J51" s="17"/>
      <c r="K51" s="1153" t="str">
        <f ca="1">IF($S$12=1,IF($AC$7=1,AB53,IF($AC$11=1,AC53,"")),IF(AND($S$12=2,OR($Z$51="LEEG",$Z$51="ONGELDIG")),IF($AC$7=1,AB53,IF($AC$11=1,AC53,"")),""))</f>
        <v/>
      </c>
      <c r="L51" s="1153"/>
      <c r="M51" s="1153"/>
      <c r="N51" s="1153"/>
      <c r="O51" s="1153"/>
      <c r="P51" s="1153"/>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2248</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59" t="str">
        <f ca="1">AE50</f>
        <v>GROEP H</v>
      </c>
      <c r="AM51" s="336" t="s">
        <v>2241</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2249</v>
      </c>
      <c r="E52" s="820"/>
      <c r="F52" s="587" t="str">
        <f>IF(Y53="LEEG","▼","")</f>
        <v/>
      </c>
      <c r="G52" s="17"/>
      <c r="H52" s="17"/>
      <c r="I52" s="17"/>
      <c r="J52" s="17"/>
      <c r="K52" s="335" t="s">
        <v>2249</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2250</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60"/>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3" t="str">
        <f ca="1">IF($S$12=1,IF($AC$7=1,AB49,IF($AC$11=1,AC49,"")),IF(AND($S$12=2,OR($Y$53="LEEG",$Y$53="ONGELDIG")),IF($AC$7=1,AB49,IF($AC$11=1,AC49,"")),""))</f>
        <v/>
      </c>
      <c r="E53" s="1153"/>
      <c r="F53" s="1153"/>
      <c r="G53" s="1153"/>
      <c r="H53" s="1153"/>
      <c r="I53" s="1153"/>
      <c r="J53" s="17"/>
      <c r="K53" s="1153" t="str">
        <f ca="1">IF($S$12=1,IF($AC$7=1,AB54,IF($AC$11=1,AC54,"")),IF(AND($S$12=2,OR($Z$53="LEEG",$Z$53="ONGELDIG")),IF($AC$7=1,AB54,IF($AC$11=1,AC54,"")),""))</f>
        <v/>
      </c>
      <c r="L53" s="1153"/>
      <c r="M53" s="1153"/>
      <c r="N53" s="1153"/>
      <c r="O53" s="1153"/>
      <c r="P53" s="1153"/>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2251</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60"/>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2252</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61"/>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88" t="s">
        <v>2253</v>
      </c>
      <c r="Y56" s="1188"/>
      <c r="Z56" s="1188"/>
      <c r="AA56" s="144"/>
      <c r="AB56" s="144"/>
      <c r="AC56" s="144"/>
      <c r="AD56" s="144"/>
      <c r="AE56" s="144"/>
      <c r="AF56" s="144"/>
      <c r="AG56" s="144"/>
      <c r="AH56" s="144"/>
      <c r="AI56" s="144"/>
      <c r="AJ56" s="144"/>
      <c r="AK56" s="164"/>
      <c r="AO56" s="1154" t="str">
        <f ca="1">AO9</f>
        <v>Punten</v>
      </c>
      <c r="AP56" s="1154" t="str">
        <f ca="1">AP9</f>
        <v>Doelpunten voor</v>
      </c>
      <c r="AQ56" s="1154"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2254</v>
      </c>
      <c r="U57" s="144"/>
      <c r="V57" s="144"/>
      <c r="W57" s="144"/>
      <c r="X57" s="1177" t="str">
        <f ca="1">Y15&amp;Z15&amp;Y25&amp;Z25&amp;Y35&amp;Z35&amp;IF(A45="H","",Y45&amp;Z45)</f>
        <v>DE.CH.HU.SC|ES.IT.HR.AL|GB.DK.RS.SI|FR.NL.AT.PL|BE.UA.SK.RO|PT.TR.CZ.GE|</v>
      </c>
      <c r="Y57" s="1178"/>
      <c r="Z57" s="1179"/>
      <c r="AA57" s="1186" t="s">
        <v>2255</v>
      </c>
      <c r="AB57" s="1187"/>
      <c r="AC57" s="162"/>
      <c r="AD57" s="144"/>
      <c r="AE57" s="144"/>
      <c r="AF57" s="144"/>
      <c r="AG57" s="144"/>
      <c r="AH57" s="144"/>
      <c r="AI57" s="144"/>
      <c r="AJ57" s="144"/>
      <c r="AK57" s="164"/>
      <c r="AO57" s="1155"/>
      <c r="AP57" s="1155"/>
      <c r="AQ57" s="1155"/>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2256</v>
      </c>
      <c r="U58" s="144"/>
      <c r="V58" s="144"/>
      <c r="W58" s="144"/>
      <c r="X58" s="1180"/>
      <c r="Y58" s="1181"/>
      <c r="Z58" s="1182"/>
      <c r="AA58" s="1186"/>
      <c r="AB58" s="1187"/>
      <c r="AC58" s="162"/>
      <c r="AD58" s="144"/>
      <c r="AE58" s="144"/>
      <c r="AF58" s="144"/>
      <c r="AG58" s="144"/>
      <c r="AH58" s="144"/>
      <c r="AI58" s="144"/>
      <c r="AJ58" s="144"/>
      <c r="AK58" s="164"/>
      <c r="AO58" s="1155"/>
      <c r="AP58" s="1155"/>
      <c r="AQ58" s="1155"/>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83"/>
      <c r="Y59" s="1184"/>
      <c r="Z59" s="1185"/>
      <c r="AA59" s="1186" t="str">
        <f ca="1">IF(LEN(SUBSTITUTE(X57,"FOUT","ONGELDIG"))=Z60,"GOED","FOUT")</f>
        <v>GOED</v>
      </c>
      <c r="AB59" s="1187"/>
      <c r="AC59" s="162"/>
      <c r="AD59" s="144"/>
      <c r="AE59" s="144"/>
      <c r="AF59" s="144"/>
      <c r="AG59" s="144"/>
      <c r="AH59" s="144"/>
      <c r="AI59" s="144"/>
      <c r="AJ59" s="144"/>
      <c r="AK59" s="164"/>
      <c r="AO59" s="1155"/>
      <c r="AP59" s="1155"/>
      <c r="AQ59" s="1155"/>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55"/>
      <c r="AP60" s="1155"/>
      <c r="AQ60" s="1155"/>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56"/>
      <c r="AP61" s="1156"/>
      <c r="AQ61" s="1156"/>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54" t="str">
        <f>IF(A45="H","",AO9)</f>
        <v/>
      </c>
      <c r="AP66" s="1154" t="str">
        <f>IF(A45="H","",AP9)</f>
        <v/>
      </c>
      <c r="AQ66" s="1154"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55"/>
      <c r="AP67" s="1155"/>
      <c r="AQ67" s="1155"/>
    </row>
    <row r="68" spans="2:43" ht="15" customHeight="1" x14ac:dyDescent="0.25">
      <c r="B68" s="17"/>
      <c r="C68" s="17"/>
      <c r="D68" s="17"/>
      <c r="E68" s="17"/>
      <c r="F68" s="17"/>
      <c r="G68" s="17"/>
      <c r="H68" s="17"/>
      <c r="I68" s="17"/>
      <c r="J68" s="17"/>
      <c r="K68" s="17"/>
      <c r="L68" s="17"/>
      <c r="M68" s="17"/>
      <c r="N68" s="17"/>
      <c r="O68" s="17"/>
      <c r="P68" s="17"/>
      <c r="Q68" s="17"/>
      <c r="R68" s="17"/>
      <c r="AO68" s="1155"/>
      <c r="AP68" s="1155"/>
      <c r="AQ68" s="1155"/>
    </row>
    <row r="69" spans="2:43" ht="15" customHeight="1" x14ac:dyDescent="0.25">
      <c r="AO69" s="1155"/>
      <c r="AP69" s="1155"/>
      <c r="AQ69" s="1155"/>
    </row>
    <row r="70" spans="2:43" ht="15" customHeight="1" x14ac:dyDescent="0.25">
      <c r="AO70" s="1155"/>
      <c r="AP70" s="1155"/>
      <c r="AQ70" s="1155"/>
    </row>
    <row r="71" spans="2:43" ht="15" customHeight="1" x14ac:dyDescent="0.25">
      <c r="Z71" s="44"/>
      <c r="AA71" s="44"/>
      <c r="AB71" s="44"/>
      <c r="AC71" s="44"/>
      <c r="AE71" s="44"/>
      <c r="AF71" s="44"/>
      <c r="AG71" s="44"/>
      <c r="AH71" s="44"/>
      <c r="AO71" s="1156"/>
      <c r="AP71" s="1156"/>
      <c r="AQ71" s="1156"/>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dc:creator>
  <cp:keywords/>
  <dc:description/>
  <cp:lastModifiedBy>Arne van Noorloos</cp:lastModifiedBy>
  <cp:revision/>
  <dcterms:created xsi:type="dcterms:W3CDTF">2008-04-11T17:46:19Z</dcterms:created>
  <dcterms:modified xsi:type="dcterms:W3CDTF">2024-06-13T08:57:42Z</dcterms:modified>
  <cp:category/>
  <cp:contentStatus/>
</cp:coreProperties>
</file>